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C:\Users\btandamba\Box\Burkina Faso - All Staff\Programs\Health Financing _ Burkina\6. Cartographie des ressources\3. RMET 2024\1. Data collection &amp; Trainings\2. Tools and materials\RMET 2024 data collection tools\"/>
    </mc:Choice>
  </mc:AlternateContent>
  <xr:revisionPtr revIDLastSave="0" documentId="13_ncr:1_{BCF6BEBC-4F1A-4E32-9C76-9308999D0BEE}" xr6:coauthVersionLast="47" xr6:coauthVersionMax="47" xr10:uidLastSave="{00000000-0000-0000-0000-000000000000}"/>
  <bookViews>
    <workbookView xWindow="-110" yWindow="-110" windowWidth="19420" windowHeight="11020" xr2:uid="{03F65C36-5EEE-41B9-8B98-337AC7BEE3E8}"/>
  </bookViews>
  <sheets>
    <sheet name="Répartition Régions &amp; districts" sheetId="13" r:id="rId1"/>
    <sheet name="Répartition Niveau d'exécution" sheetId="14" r:id="rId2"/>
    <sheet name="Effectif pour rép. soldes mensu" sheetId="23" state="hidden" r:id="rId3"/>
    <sheet name="Répartition Soldes mensuelles" sheetId="15" r:id="rId4"/>
    <sheet name="Budget par AI SNDS" sheetId="24" state="hidden" r:id="rId5"/>
    <sheet name="Répartition par OS et AI" sheetId="20" r:id="rId6"/>
    <sheet name="Répartition Niveaux de soins" sheetId="21" r:id="rId7"/>
    <sheet name="Répartition des Maladies" sheetId="22" r:id="rId8"/>
    <sheet name="Répartition SP.CNLS-IST" sheetId="25" r:id="rId9"/>
  </sheets>
  <externalReferences>
    <externalReference r:id="rId10"/>
  </externalReferences>
  <definedNames>
    <definedName name="_xlnm._FilterDatabase" localSheetId="4" hidden="1">'Budget par AI SNDS'!$A$1:$E$186</definedName>
    <definedName name="_xlnm._FilterDatabase" localSheetId="5" hidden="1">'Répartition par OS et AI'!$B$5:$G$43</definedName>
    <definedName name="_xlnm._FilterDatabase" localSheetId="8" hidden="1">'Répartition SP.CNLS-IST'!$C$2:$C$109</definedName>
    <definedName name="_xlnm.Database">[1]!Table1[#All]</definedName>
    <definedName name="Data_array" localSheetId="4">#REF!</definedName>
    <definedName name="Data_array">#REF!</definedName>
    <definedName name="Data_start" localSheetId="4">#REF!</definedName>
    <definedName name="Data_start">#REF!</definedName>
    <definedName name="prio_sous_prio">[1]!Table22[#Data]</definedName>
    <definedName name="Prog_ranking">[1]!Table21[#Data]</definedName>
    <definedName name="Vaccination">[1]!Table135[Vaccination]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3" l="1"/>
  <c r="G15" i="15"/>
  <c r="D108" i="25" l="1"/>
  <c r="D107" i="25"/>
  <c r="D100" i="25"/>
  <c r="D94" i="25"/>
  <c r="D89" i="25"/>
  <c r="D81" i="25"/>
  <c r="D71" i="25"/>
  <c r="D63" i="25"/>
  <c r="D58" i="25"/>
  <c r="D49" i="25"/>
  <c r="D41" i="25"/>
  <c r="D32" i="25"/>
  <c r="D20" i="25"/>
  <c r="D15" i="25"/>
  <c r="D7" i="25"/>
  <c r="D109" i="25" l="1"/>
  <c r="C22" i="14" l="1"/>
  <c r="M75" i="13"/>
  <c r="N5" i="13" s="1"/>
  <c r="C18" i="13"/>
  <c r="D18" i="13" s="1"/>
  <c r="N21" i="13" l="1"/>
  <c r="C38" i="14" s="1"/>
  <c r="N13" i="13"/>
  <c r="C30" i="14" s="1"/>
  <c r="N69" i="13"/>
  <c r="C86" i="14" s="1"/>
  <c r="N61" i="13"/>
  <c r="C78" i="14" s="1"/>
  <c r="N37" i="13"/>
  <c r="C54" i="14" s="1"/>
  <c r="N53" i="13"/>
  <c r="C70" i="14" s="1"/>
  <c r="N45" i="13"/>
  <c r="C62" i="14" s="1"/>
  <c r="N29" i="13"/>
  <c r="C46" i="14" s="1"/>
  <c r="N68" i="13"/>
  <c r="C85" i="14" s="1"/>
  <c r="N60" i="13"/>
  <c r="C77" i="14" s="1"/>
  <c r="N52" i="13"/>
  <c r="C69" i="14" s="1"/>
  <c r="N44" i="13"/>
  <c r="C61" i="14" s="1"/>
  <c r="N36" i="13"/>
  <c r="C53" i="14" s="1"/>
  <c r="N28" i="13"/>
  <c r="C45" i="14" s="1"/>
  <c r="N20" i="13"/>
  <c r="C37" i="14" s="1"/>
  <c r="N12" i="13"/>
  <c r="C29" i="14" s="1"/>
  <c r="N75" i="13"/>
  <c r="N67" i="13"/>
  <c r="C84" i="14" s="1"/>
  <c r="N59" i="13"/>
  <c r="C76" i="14" s="1"/>
  <c r="N51" i="13"/>
  <c r="C68" i="14" s="1"/>
  <c r="N43" i="13"/>
  <c r="C60" i="14" s="1"/>
  <c r="N35" i="13"/>
  <c r="C52" i="14" s="1"/>
  <c r="N27" i="13"/>
  <c r="C44" i="14" s="1"/>
  <c r="N19" i="13"/>
  <c r="C36" i="14" s="1"/>
  <c r="N11" i="13"/>
  <c r="C28" i="14" s="1"/>
  <c r="N74" i="13"/>
  <c r="C91" i="14" s="1"/>
  <c r="N66" i="13"/>
  <c r="C83" i="14" s="1"/>
  <c r="N58" i="13"/>
  <c r="C75" i="14" s="1"/>
  <c r="N50" i="13"/>
  <c r="C67" i="14" s="1"/>
  <c r="N42" i="13"/>
  <c r="C59" i="14" s="1"/>
  <c r="N34" i="13"/>
  <c r="C51" i="14" s="1"/>
  <c r="N26" i="13"/>
  <c r="C43" i="14" s="1"/>
  <c r="N18" i="13"/>
  <c r="C35" i="14" s="1"/>
  <c r="N10" i="13"/>
  <c r="C27" i="14" s="1"/>
  <c r="N73" i="13"/>
  <c r="C90" i="14" s="1"/>
  <c r="N65" i="13"/>
  <c r="C82" i="14" s="1"/>
  <c r="N57" i="13"/>
  <c r="C74" i="14" s="1"/>
  <c r="N49" i="13"/>
  <c r="C66" i="14" s="1"/>
  <c r="N41" i="13"/>
  <c r="C58" i="14" s="1"/>
  <c r="N33" i="13"/>
  <c r="C50" i="14" s="1"/>
  <c r="N25" i="13"/>
  <c r="C42" i="14" s="1"/>
  <c r="N17" i="13"/>
  <c r="C34" i="14" s="1"/>
  <c r="N9" i="13"/>
  <c r="C26" i="14" s="1"/>
  <c r="N72" i="13"/>
  <c r="C89" i="14" s="1"/>
  <c r="N64" i="13"/>
  <c r="C81" i="14" s="1"/>
  <c r="N56" i="13"/>
  <c r="C73" i="14" s="1"/>
  <c r="N48" i="13"/>
  <c r="C65" i="14" s="1"/>
  <c r="N40" i="13"/>
  <c r="C57" i="14" s="1"/>
  <c r="N32" i="13"/>
  <c r="C49" i="14" s="1"/>
  <c r="N24" i="13"/>
  <c r="C41" i="14" s="1"/>
  <c r="N16" i="13"/>
  <c r="C33" i="14" s="1"/>
  <c r="N8" i="13"/>
  <c r="C25" i="14" s="1"/>
  <c r="N71" i="13"/>
  <c r="C88" i="14" s="1"/>
  <c r="N63" i="13"/>
  <c r="C80" i="14" s="1"/>
  <c r="N55" i="13"/>
  <c r="C72" i="14" s="1"/>
  <c r="N47" i="13"/>
  <c r="C64" i="14" s="1"/>
  <c r="N39" i="13"/>
  <c r="C56" i="14" s="1"/>
  <c r="N31" i="13"/>
  <c r="C48" i="14" s="1"/>
  <c r="N23" i="13"/>
  <c r="C40" i="14" s="1"/>
  <c r="N15" i="13"/>
  <c r="C32" i="14" s="1"/>
  <c r="N7" i="13"/>
  <c r="C24" i="14" s="1"/>
  <c r="N70" i="13"/>
  <c r="C87" i="14" s="1"/>
  <c r="N62" i="13"/>
  <c r="C79" i="14" s="1"/>
  <c r="N54" i="13"/>
  <c r="C71" i="14" s="1"/>
  <c r="N46" i="13"/>
  <c r="C63" i="14" s="1"/>
  <c r="N38" i="13"/>
  <c r="C55" i="14" s="1"/>
  <c r="N30" i="13"/>
  <c r="C47" i="14" s="1"/>
  <c r="N22" i="13"/>
  <c r="C39" i="14" s="1"/>
  <c r="N14" i="13"/>
  <c r="C31" i="14" s="1"/>
  <c r="N6" i="13"/>
  <c r="C23" i="14" s="1"/>
  <c r="D10" i="13"/>
  <c r="C12" i="14" s="1"/>
  <c r="D5" i="13"/>
  <c r="C7" i="14" s="1"/>
  <c r="D17" i="13"/>
  <c r="C19" i="14" s="1"/>
  <c r="D9" i="13"/>
  <c r="C11" i="14" s="1"/>
  <c r="D11" i="13"/>
  <c r="C13" i="14" s="1"/>
  <c r="D16" i="13"/>
  <c r="C18" i="14" s="1"/>
  <c r="D8" i="13"/>
  <c r="C10" i="14" s="1"/>
  <c r="D7" i="13"/>
  <c r="C9" i="14" s="1"/>
  <c r="D12" i="13"/>
  <c r="C14" i="14" s="1"/>
  <c r="D15" i="13"/>
  <c r="C17" i="14" s="1"/>
  <c r="D14" i="13"/>
  <c r="C16" i="14" s="1"/>
  <c r="C8" i="14"/>
  <c r="D13" i="13"/>
  <c r="C15" i="14" s="1"/>
  <c r="C39" i="22" l="1"/>
  <c r="C40" i="22"/>
  <c r="C41" i="22"/>
  <c r="C42" i="22"/>
  <c r="C43" i="22"/>
  <c r="C44" i="22"/>
  <c r="C45" i="22"/>
  <c r="C46" i="22"/>
  <c r="C47" i="22"/>
  <c r="C48" i="22"/>
  <c r="C49" i="22"/>
  <c r="C50" i="22"/>
  <c r="C38" i="22"/>
  <c r="C16" i="21"/>
  <c r="C17" i="21"/>
  <c r="C18" i="21"/>
  <c r="C19" i="21"/>
  <c r="C20" i="21"/>
  <c r="C21" i="21"/>
  <c r="C22" i="21"/>
  <c r="C23" i="21"/>
  <c r="C24" i="21"/>
  <c r="C25" i="21"/>
  <c r="C26" i="21"/>
  <c r="C27" i="21"/>
  <c r="C15" i="21"/>
  <c r="N93" i="20"/>
  <c r="N94" i="20"/>
  <c r="N95" i="20"/>
  <c r="N96" i="20"/>
  <c r="N97" i="20"/>
  <c r="N98" i="20"/>
  <c r="N99" i="20"/>
  <c r="N100" i="20"/>
  <c r="N101" i="20"/>
  <c r="N102" i="20"/>
  <c r="N103" i="20"/>
  <c r="N104" i="20"/>
  <c r="N105" i="20"/>
  <c r="N106" i="20"/>
  <c r="N92" i="20"/>
  <c r="C24" i="15"/>
  <c r="C25" i="15"/>
  <c r="C26" i="15"/>
  <c r="C27" i="15"/>
  <c r="C28" i="15"/>
  <c r="C29" i="15"/>
  <c r="C30" i="15"/>
  <c r="C31" i="15"/>
  <c r="C32" i="15"/>
  <c r="C33" i="15"/>
  <c r="C34" i="15"/>
  <c r="C35" i="15"/>
  <c r="C36" i="15"/>
  <c r="I25" i="14"/>
  <c r="I26" i="14"/>
  <c r="I27" i="14"/>
  <c r="I28" i="14"/>
  <c r="I29" i="14"/>
  <c r="I30" i="14"/>
  <c r="I31" i="14"/>
  <c r="I32" i="14"/>
  <c r="I33" i="14"/>
  <c r="I34" i="14"/>
  <c r="I35" i="14"/>
  <c r="I36" i="14"/>
  <c r="I37" i="14"/>
  <c r="I8" i="14"/>
  <c r="I9" i="14"/>
  <c r="I10" i="14"/>
  <c r="I11" i="14"/>
  <c r="I12" i="14"/>
  <c r="I13" i="14"/>
  <c r="I14" i="14"/>
  <c r="I15" i="14"/>
  <c r="I16" i="14"/>
  <c r="I17" i="14"/>
  <c r="I18" i="14"/>
  <c r="I19" i="14"/>
  <c r="I7" i="14"/>
  <c r="M81" i="13"/>
  <c r="M82" i="13"/>
  <c r="M83" i="13"/>
  <c r="M84" i="13"/>
  <c r="M85" i="13"/>
  <c r="M86" i="13"/>
  <c r="M87" i="13"/>
  <c r="M88" i="13"/>
  <c r="M89" i="13"/>
  <c r="M90" i="13"/>
  <c r="M91" i="13"/>
  <c r="M92" i="13"/>
  <c r="M80" i="13"/>
  <c r="C26" i="13"/>
  <c r="C27" i="13"/>
  <c r="C28" i="13"/>
  <c r="C29" i="13"/>
  <c r="C30" i="13"/>
  <c r="C31" i="13"/>
  <c r="C32" i="13"/>
  <c r="C33" i="13"/>
  <c r="C34" i="13"/>
  <c r="C35" i="13"/>
  <c r="C36" i="13"/>
  <c r="C37" i="13"/>
  <c r="C38" i="13"/>
  <c r="E187" i="24"/>
  <c r="E186" i="24"/>
  <c r="E182" i="24"/>
  <c r="E177" i="24"/>
  <c r="E161" i="24"/>
  <c r="E158" i="24"/>
  <c r="E149" i="24"/>
  <c r="E145" i="24"/>
  <c r="E140" i="24"/>
  <c r="E124" i="24"/>
  <c r="E121" i="24"/>
  <c r="E112" i="24"/>
  <c r="E108" i="24"/>
  <c r="E103" i="24"/>
  <c r="E87" i="24"/>
  <c r="E84" i="24"/>
  <c r="E75" i="24"/>
  <c r="E71" i="24"/>
  <c r="E66" i="24"/>
  <c r="E50" i="24"/>
  <c r="E47" i="24"/>
  <c r="E38" i="24"/>
  <c r="E34" i="24"/>
  <c r="E29" i="24"/>
  <c r="E13" i="24"/>
  <c r="E10" i="24"/>
  <c r="C29" i="23"/>
  <c r="C17" i="23"/>
  <c r="Q93" i="13" l="1"/>
  <c r="G51" i="22"/>
  <c r="G28" i="21"/>
  <c r="G37" i="15"/>
  <c r="M38" i="14"/>
  <c r="M20" i="14"/>
  <c r="G5" i="22"/>
  <c r="G6" i="22"/>
  <c r="G7" i="22"/>
  <c r="G8" i="22"/>
  <c r="G9" i="22"/>
  <c r="D10" i="22"/>
  <c r="G10" i="22" s="1"/>
  <c r="G16" i="22"/>
  <c r="G17" i="22"/>
  <c r="G18" i="22"/>
  <c r="G19" i="22"/>
  <c r="G20" i="22"/>
  <c r="G21" i="22"/>
  <c r="G22" i="22"/>
  <c r="G23" i="22"/>
  <c r="G24" i="22"/>
  <c r="G25" i="22"/>
  <c r="G26" i="22"/>
  <c r="G27" i="22"/>
  <c r="G28" i="22"/>
  <c r="G29" i="22"/>
  <c r="G30" i="22"/>
  <c r="G31" i="22"/>
  <c r="G15" i="22"/>
  <c r="D32" i="22"/>
  <c r="G32" i="22" s="1"/>
  <c r="G10" i="21"/>
  <c r="G6" i="21"/>
  <c r="G7" i="21"/>
  <c r="G8" i="21"/>
  <c r="G9" i="21"/>
  <c r="G5" i="21"/>
  <c r="D10" i="21"/>
  <c r="G91" i="20"/>
  <c r="J91" i="20" s="1"/>
  <c r="G92" i="20"/>
  <c r="J92" i="20" s="1"/>
  <c r="G93" i="20"/>
  <c r="J93" i="20" s="1"/>
  <c r="G94" i="20"/>
  <c r="J94" i="20" s="1"/>
  <c r="G95" i="20"/>
  <c r="J95" i="20" s="1"/>
  <c r="G96" i="20"/>
  <c r="J96" i="20" s="1"/>
  <c r="G97" i="20"/>
  <c r="J97" i="20" s="1"/>
  <c r="G98" i="20"/>
  <c r="J98" i="20" s="1"/>
  <c r="G99" i="20"/>
  <c r="J99" i="20" s="1"/>
  <c r="G100" i="20"/>
  <c r="J100" i="20" s="1"/>
  <c r="G101" i="20"/>
  <c r="J101" i="20" s="1"/>
  <c r="G102" i="20"/>
  <c r="J102" i="20" s="1"/>
  <c r="G103" i="20"/>
  <c r="J103" i="20" s="1"/>
  <c r="G104" i="20"/>
  <c r="J104" i="20" s="1"/>
  <c r="G105" i="20"/>
  <c r="J105" i="20" s="1"/>
  <c r="G106" i="20"/>
  <c r="J106" i="20" s="1"/>
  <c r="G107" i="20"/>
  <c r="J107" i="20" s="1"/>
  <c r="G108" i="20"/>
  <c r="J108" i="20" s="1"/>
  <c r="G109" i="20"/>
  <c r="J109" i="20" s="1"/>
  <c r="G110" i="20"/>
  <c r="J110" i="20" s="1"/>
  <c r="G111" i="20"/>
  <c r="J111" i="20" s="1"/>
  <c r="G112" i="20"/>
  <c r="J112" i="20" s="1"/>
  <c r="G113" i="20"/>
  <c r="J113" i="20" s="1"/>
  <c r="G114" i="20"/>
  <c r="J114" i="20" s="1"/>
  <c r="G115" i="20"/>
  <c r="J115" i="20" s="1"/>
  <c r="G116" i="20"/>
  <c r="J116" i="20" s="1"/>
  <c r="G117" i="20"/>
  <c r="J117" i="20" s="1"/>
  <c r="G118" i="20"/>
  <c r="J118" i="20" s="1"/>
  <c r="G119" i="20"/>
  <c r="J119" i="20" s="1"/>
  <c r="G120" i="20"/>
  <c r="J120" i="20" s="1"/>
  <c r="G121" i="20"/>
  <c r="J121" i="20" s="1"/>
  <c r="G122" i="20"/>
  <c r="J122" i="20" s="1"/>
  <c r="G123" i="20"/>
  <c r="J123" i="20" s="1"/>
  <c r="G124" i="20"/>
  <c r="J124" i="20" s="1"/>
  <c r="G125" i="20"/>
  <c r="J125" i="20" s="1"/>
  <c r="G126" i="20"/>
  <c r="J126" i="20" s="1"/>
  <c r="G127" i="20"/>
  <c r="J127" i="20" s="1"/>
  <c r="G90" i="20"/>
  <c r="J90" i="20" s="1"/>
  <c r="Q49" i="20"/>
  <c r="T49" i="20" s="1"/>
  <c r="Q50" i="20"/>
  <c r="T50" i="20" s="1"/>
  <c r="Q51" i="20"/>
  <c r="T51" i="20" s="1"/>
  <c r="Q52" i="20"/>
  <c r="T52" i="20" s="1"/>
  <c r="Q53" i="20"/>
  <c r="T53" i="20" s="1"/>
  <c r="Q54" i="20"/>
  <c r="T54" i="20" s="1"/>
  <c r="Q55" i="20"/>
  <c r="T55" i="20" s="1"/>
  <c r="Q56" i="20"/>
  <c r="T56" i="20" s="1"/>
  <c r="Q57" i="20"/>
  <c r="T57" i="20" s="1"/>
  <c r="Q58" i="20"/>
  <c r="T58" i="20" s="1"/>
  <c r="Q59" i="20"/>
  <c r="T59" i="20" s="1"/>
  <c r="Q60" i="20"/>
  <c r="T60" i="20" s="1"/>
  <c r="Q61" i="20"/>
  <c r="T61" i="20" s="1"/>
  <c r="Q62" i="20"/>
  <c r="T62" i="20" s="1"/>
  <c r="Q63" i="20"/>
  <c r="T63" i="20" s="1"/>
  <c r="Q64" i="20"/>
  <c r="T64" i="20" s="1"/>
  <c r="Q65" i="20"/>
  <c r="T65" i="20" s="1"/>
  <c r="Q66" i="20"/>
  <c r="T66" i="20" s="1"/>
  <c r="Q67" i="20"/>
  <c r="T67" i="20" s="1"/>
  <c r="Q68" i="20"/>
  <c r="T68" i="20" s="1"/>
  <c r="Q69" i="20"/>
  <c r="T69" i="20" s="1"/>
  <c r="Q70" i="20"/>
  <c r="T70" i="20" s="1"/>
  <c r="Q71" i="20"/>
  <c r="T71" i="20" s="1"/>
  <c r="Q72" i="20"/>
  <c r="T72" i="20" s="1"/>
  <c r="Q73" i="20"/>
  <c r="T73" i="20" s="1"/>
  <c r="Q74" i="20"/>
  <c r="T74" i="20" s="1"/>
  <c r="Q75" i="20"/>
  <c r="T75" i="20" s="1"/>
  <c r="Q76" i="20"/>
  <c r="T76" i="20" s="1"/>
  <c r="Q77" i="20"/>
  <c r="T77" i="20" s="1"/>
  <c r="Q78" i="20"/>
  <c r="T78" i="20" s="1"/>
  <c r="Q79" i="20"/>
  <c r="T79" i="20" s="1"/>
  <c r="Q80" i="20"/>
  <c r="T80" i="20" s="1"/>
  <c r="Q81" i="20"/>
  <c r="T81" i="20" s="1"/>
  <c r="Q82" i="20"/>
  <c r="T82" i="20" s="1"/>
  <c r="Q83" i="20"/>
  <c r="T83" i="20" s="1"/>
  <c r="Q84" i="20"/>
  <c r="T84" i="20" s="1"/>
  <c r="Q85" i="20"/>
  <c r="T85" i="20" s="1"/>
  <c r="Q48" i="20"/>
  <c r="T48" i="20" s="1"/>
  <c r="G49" i="20"/>
  <c r="J49" i="20" s="1"/>
  <c r="G50" i="20"/>
  <c r="J50" i="20" s="1"/>
  <c r="G51" i="20"/>
  <c r="J51" i="20" s="1"/>
  <c r="G52" i="20"/>
  <c r="J52" i="20" s="1"/>
  <c r="G53" i="20"/>
  <c r="J53" i="20" s="1"/>
  <c r="G54" i="20"/>
  <c r="J54" i="20" s="1"/>
  <c r="G55" i="20"/>
  <c r="J55" i="20" s="1"/>
  <c r="G56" i="20"/>
  <c r="J56" i="20" s="1"/>
  <c r="G57" i="20"/>
  <c r="J57" i="20" s="1"/>
  <c r="G58" i="20"/>
  <c r="J58" i="20" s="1"/>
  <c r="G59" i="20"/>
  <c r="J59" i="20" s="1"/>
  <c r="G60" i="20"/>
  <c r="J60" i="20" s="1"/>
  <c r="G61" i="20"/>
  <c r="J61" i="20" s="1"/>
  <c r="G62" i="20"/>
  <c r="J62" i="20" s="1"/>
  <c r="G63" i="20"/>
  <c r="J63" i="20" s="1"/>
  <c r="G64" i="20"/>
  <c r="J64" i="20" s="1"/>
  <c r="G65" i="20"/>
  <c r="J65" i="20" s="1"/>
  <c r="G66" i="20"/>
  <c r="J66" i="20" s="1"/>
  <c r="G67" i="20"/>
  <c r="J67" i="20" s="1"/>
  <c r="G68" i="20"/>
  <c r="J68" i="20" s="1"/>
  <c r="G69" i="20"/>
  <c r="J69" i="20" s="1"/>
  <c r="G70" i="20"/>
  <c r="J70" i="20" s="1"/>
  <c r="G71" i="20"/>
  <c r="J71" i="20" s="1"/>
  <c r="G72" i="20"/>
  <c r="J72" i="20" s="1"/>
  <c r="G73" i="20"/>
  <c r="J73" i="20" s="1"/>
  <c r="G74" i="20"/>
  <c r="J74" i="20" s="1"/>
  <c r="G75" i="20"/>
  <c r="J75" i="20" s="1"/>
  <c r="G76" i="20"/>
  <c r="J76" i="20" s="1"/>
  <c r="G77" i="20"/>
  <c r="J77" i="20" s="1"/>
  <c r="G78" i="20"/>
  <c r="J78" i="20" s="1"/>
  <c r="G79" i="20"/>
  <c r="J79" i="20" s="1"/>
  <c r="G80" i="20"/>
  <c r="J80" i="20" s="1"/>
  <c r="G81" i="20"/>
  <c r="J81" i="20" s="1"/>
  <c r="G82" i="20"/>
  <c r="J82" i="20" s="1"/>
  <c r="G83" i="20"/>
  <c r="J83" i="20" s="1"/>
  <c r="G84" i="20"/>
  <c r="J84" i="20" s="1"/>
  <c r="G85" i="20"/>
  <c r="J85" i="20" s="1"/>
  <c r="G48" i="20"/>
  <c r="J48" i="20" s="1"/>
  <c r="Q7" i="20"/>
  <c r="T7" i="20" s="1"/>
  <c r="Q8" i="20"/>
  <c r="T8" i="20" s="1"/>
  <c r="Q9" i="20"/>
  <c r="T9" i="20" s="1"/>
  <c r="Q10" i="20"/>
  <c r="T10" i="20" s="1"/>
  <c r="Q11" i="20"/>
  <c r="T11" i="20" s="1"/>
  <c r="Q12" i="20"/>
  <c r="T12" i="20" s="1"/>
  <c r="Q13" i="20"/>
  <c r="T13" i="20" s="1"/>
  <c r="Q14" i="20"/>
  <c r="T14" i="20" s="1"/>
  <c r="Q15" i="20"/>
  <c r="T15" i="20" s="1"/>
  <c r="Q16" i="20"/>
  <c r="T16" i="20" s="1"/>
  <c r="Q17" i="20"/>
  <c r="T17" i="20" s="1"/>
  <c r="Q18" i="20"/>
  <c r="T18" i="20" s="1"/>
  <c r="Q19" i="20"/>
  <c r="T19" i="20" s="1"/>
  <c r="Q20" i="20"/>
  <c r="T20" i="20" s="1"/>
  <c r="Q21" i="20"/>
  <c r="T21" i="20" s="1"/>
  <c r="Q22" i="20"/>
  <c r="T22" i="20" s="1"/>
  <c r="Q23" i="20"/>
  <c r="T23" i="20" s="1"/>
  <c r="Q24" i="20"/>
  <c r="T24" i="20" s="1"/>
  <c r="Q25" i="20"/>
  <c r="T25" i="20" s="1"/>
  <c r="Q26" i="20"/>
  <c r="T26" i="20" s="1"/>
  <c r="Q27" i="20"/>
  <c r="T27" i="20" s="1"/>
  <c r="Q28" i="20"/>
  <c r="T28" i="20" s="1"/>
  <c r="Q29" i="20"/>
  <c r="T29" i="20" s="1"/>
  <c r="Q30" i="20"/>
  <c r="T30" i="20" s="1"/>
  <c r="Q31" i="20"/>
  <c r="T31" i="20" s="1"/>
  <c r="Q32" i="20"/>
  <c r="T32" i="20" s="1"/>
  <c r="Q33" i="20"/>
  <c r="T33" i="20" s="1"/>
  <c r="Q34" i="20"/>
  <c r="T34" i="20" s="1"/>
  <c r="Q35" i="20"/>
  <c r="T35" i="20" s="1"/>
  <c r="Q36" i="20"/>
  <c r="T36" i="20" s="1"/>
  <c r="Q37" i="20"/>
  <c r="T37" i="20" s="1"/>
  <c r="Q38" i="20"/>
  <c r="T38" i="20" s="1"/>
  <c r="Q39" i="20"/>
  <c r="T39" i="20" s="1"/>
  <c r="Q40" i="20"/>
  <c r="T40" i="20" s="1"/>
  <c r="Q41" i="20"/>
  <c r="T41" i="20" s="1"/>
  <c r="Q42" i="20"/>
  <c r="T42" i="20" s="1"/>
  <c r="Q43" i="20"/>
  <c r="T43" i="20" s="1"/>
  <c r="Q6" i="20"/>
  <c r="T6" i="20" s="1"/>
  <c r="G7" i="20"/>
  <c r="J7" i="20" s="1"/>
  <c r="G8" i="20"/>
  <c r="J8" i="20" s="1"/>
  <c r="G9" i="20"/>
  <c r="J9" i="20" s="1"/>
  <c r="G10" i="20"/>
  <c r="J10" i="20" s="1"/>
  <c r="G11" i="20"/>
  <c r="J11" i="20" s="1"/>
  <c r="G12" i="20"/>
  <c r="J12" i="20" s="1"/>
  <c r="G13" i="20"/>
  <c r="J13" i="20" s="1"/>
  <c r="G14" i="20"/>
  <c r="J14" i="20" s="1"/>
  <c r="G15" i="20"/>
  <c r="J15" i="20" s="1"/>
  <c r="G16" i="20"/>
  <c r="J16" i="20" s="1"/>
  <c r="G17" i="20"/>
  <c r="J17" i="20" s="1"/>
  <c r="G18" i="20"/>
  <c r="J18" i="20" s="1"/>
  <c r="G19" i="20"/>
  <c r="J19" i="20" s="1"/>
  <c r="G20" i="20"/>
  <c r="J20" i="20" s="1"/>
  <c r="G21" i="20"/>
  <c r="J21" i="20" s="1"/>
  <c r="G22" i="20"/>
  <c r="J22" i="20" s="1"/>
  <c r="G23" i="20"/>
  <c r="J23" i="20" s="1"/>
  <c r="G24" i="20"/>
  <c r="J24" i="20" s="1"/>
  <c r="G25" i="20"/>
  <c r="J25" i="20" s="1"/>
  <c r="G26" i="20"/>
  <c r="J26" i="20" s="1"/>
  <c r="G27" i="20"/>
  <c r="J27" i="20" s="1"/>
  <c r="G28" i="20"/>
  <c r="J28" i="20" s="1"/>
  <c r="G29" i="20"/>
  <c r="J29" i="20" s="1"/>
  <c r="G30" i="20"/>
  <c r="J30" i="20" s="1"/>
  <c r="G31" i="20"/>
  <c r="J31" i="20" s="1"/>
  <c r="G32" i="20"/>
  <c r="J32" i="20" s="1"/>
  <c r="G33" i="20"/>
  <c r="J33" i="20" s="1"/>
  <c r="G34" i="20"/>
  <c r="J34" i="20" s="1"/>
  <c r="G35" i="20"/>
  <c r="J35" i="20" s="1"/>
  <c r="G36" i="20"/>
  <c r="J36" i="20" s="1"/>
  <c r="G37" i="20"/>
  <c r="J37" i="20" s="1"/>
  <c r="G38" i="20"/>
  <c r="J38" i="20" s="1"/>
  <c r="G39" i="20"/>
  <c r="J39" i="20" s="1"/>
  <c r="G40" i="20"/>
  <c r="J40" i="20" s="1"/>
  <c r="G41" i="20"/>
  <c r="J41" i="20" s="1"/>
  <c r="G42" i="20"/>
  <c r="J42" i="20" s="1"/>
  <c r="G43" i="20"/>
  <c r="J43" i="20" s="1"/>
  <c r="G6" i="20"/>
  <c r="J6" i="20" s="1"/>
  <c r="C19" i="15"/>
  <c r="D7" i="15" s="1"/>
  <c r="G7" i="15" s="1"/>
  <c r="Q5" i="13"/>
  <c r="G6" i="13"/>
  <c r="G7" i="13"/>
  <c r="G8" i="13"/>
  <c r="G9" i="13"/>
  <c r="G10" i="13"/>
  <c r="G11" i="13"/>
  <c r="G12" i="13"/>
  <c r="G13" i="13"/>
  <c r="G14" i="13"/>
  <c r="G15" i="13"/>
  <c r="G16" i="13"/>
  <c r="G17" i="13"/>
  <c r="G18" i="13"/>
  <c r="G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19" i="14"/>
  <c r="F18" i="14"/>
  <c r="F17" i="14"/>
  <c r="F16" i="14"/>
  <c r="F15" i="14"/>
  <c r="F14" i="14"/>
  <c r="F13" i="14"/>
  <c r="F12" i="14"/>
  <c r="F11" i="14"/>
  <c r="F10" i="14"/>
  <c r="F9" i="14"/>
  <c r="F8" i="14"/>
  <c r="F7" i="14"/>
  <c r="F6" i="14"/>
  <c r="F4" i="14"/>
  <c r="D14" i="15" l="1"/>
  <c r="G14" i="15" s="1"/>
  <c r="D6" i="15"/>
  <c r="G6" i="15" s="1"/>
  <c r="D16" i="15"/>
  <c r="G16" i="15" s="1"/>
  <c r="D8" i="15"/>
  <c r="G8" i="15" s="1"/>
  <c r="D13" i="15"/>
  <c r="G13" i="15" s="1"/>
  <c r="D19" i="15"/>
  <c r="G19" i="15" s="1"/>
  <c r="D5" i="15"/>
  <c r="G5" i="15" s="1"/>
  <c r="D11" i="15"/>
  <c r="G11" i="15" s="1"/>
  <c r="D18" i="15"/>
  <c r="D10" i="15"/>
  <c r="G10" i="15" s="1"/>
  <c r="D12" i="15"/>
  <c r="G12" i="15" s="1"/>
  <c r="D17" i="15"/>
  <c r="G17" i="15" s="1"/>
  <c r="D9" i="15"/>
  <c r="G9" i="15" s="1"/>
  <c r="D15" i="15"/>
  <c r="N107" i="20" a="1"/>
  <c r="N107" i="20" s="1"/>
  <c r="P99" i="20" s="1"/>
  <c r="R99" i="20" s="1"/>
  <c r="C51" i="22" a="1"/>
  <c r="C51" i="22" s="1"/>
  <c r="E38" i="22" s="1"/>
  <c r="G38" i="22" s="1"/>
  <c r="C28" i="21" a="1"/>
  <c r="C28" i="21" s="1"/>
  <c r="C37" i="15" a="1"/>
  <c r="C37" i="15" s="1"/>
  <c r="M93" i="13" a="1"/>
  <c r="M93" i="13" s="1"/>
  <c r="O80" i="13" s="1"/>
  <c r="I20" i="14" a="1"/>
  <c r="I20" i="14" s="1"/>
  <c r="K10" i="14" s="1"/>
  <c r="M10" i="14" s="1"/>
  <c r="C39" i="13" a="1"/>
  <c r="C39" i="13" s="1"/>
  <c r="E37" i="13" s="1"/>
  <c r="G37" i="13" s="1"/>
  <c r="P92" i="20" l="1"/>
  <c r="R92" i="20" s="1"/>
  <c r="P95" i="20"/>
  <c r="R95" i="20" s="1"/>
  <c r="P102" i="20"/>
  <c r="R102" i="20" s="1"/>
  <c r="P105" i="20"/>
  <c r="R105" i="20" s="1"/>
  <c r="P94" i="20"/>
  <c r="R94" i="20" s="1"/>
  <c r="P100" i="20"/>
  <c r="R100" i="20" s="1"/>
  <c r="P97" i="20"/>
  <c r="R97" i="20" s="1"/>
  <c r="P101" i="20"/>
  <c r="R101" i="20" s="1"/>
  <c r="P103" i="20"/>
  <c r="R103" i="20" s="1"/>
  <c r="P106" i="20"/>
  <c r="R106" i="20" s="1"/>
  <c r="P93" i="20"/>
  <c r="R93" i="20" s="1"/>
  <c r="P96" i="20"/>
  <c r="R96" i="20" s="1"/>
  <c r="P98" i="20"/>
  <c r="R98" i="20" s="1"/>
  <c r="P104" i="20"/>
  <c r="R104" i="20" s="1"/>
  <c r="E39" i="22"/>
  <c r="G39" i="22" s="1"/>
  <c r="E47" i="22"/>
  <c r="G47" i="22" s="1"/>
  <c r="E40" i="22"/>
  <c r="G40" i="22" s="1"/>
  <c r="E48" i="22"/>
  <c r="G48" i="22" s="1"/>
  <c r="E41" i="22"/>
  <c r="G41" i="22" s="1"/>
  <c r="E49" i="22"/>
  <c r="G49" i="22" s="1"/>
  <c r="E42" i="22"/>
  <c r="G42" i="22" s="1"/>
  <c r="E50" i="22"/>
  <c r="G50" i="22" s="1"/>
  <c r="E43" i="22"/>
  <c r="G43" i="22" s="1"/>
  <c r="E44" i="22"/>
  <c r="G44" i="22" s="1"/>
  <c r="E45" i="22"/>
  <c r="G45" i="22" s="1"/>
  <c r="E46" i="22"/>
  <c r="G46" i="22" s="1"/>
  <c r="E15" i="21"/>
  <c r="G15" i="21" s="1"/>
  <c r="E16" i="21"/>
  <c r="G16" i="21" s="1"/>
  <c r="E24" i="21"/>
  <c r="G24" i="21" s="1"/>
  <c r="E17" i="21"/>
  <c r="G17" i="21" s="1"/>
  <c r="E25" i="21"/>
  <c r="G25" i="21" s="1"/>
  <c r="E18" i="21"/>
  <c r="G18" i="21" s="1"/>
  <c r="E26" i="21"/>
  <c r="G26" i="21" s="1"/>
  <c r="E19" i="21"/>
  <c r="G19" i="21" s="1"/>
  <c r="E27" i="21"/>
  <c r="G27" i="21" s="1"/>
  <c r="E20" i="21"/>
  <c r="G20" i="21" s="1"/>
  <c r="E22" i="21"/>
  <c r="G22" i="21" s="1"/>
  <c r="E23" i="21"/>
  <c r="G23" i="21" s="1"/>
  <c r="E21" i="21"/>
  <c r="G21" i="21" s="1"/>
  <c r="E27" i="15"/>
  <c r="G27" i="15" s="1"/>
  <c r="E35" i="15"/>
  <c r="G35" i="15" s="1"/>
  <c r="E25" i="15"/>
  <c r="G25" i="15" s="1"/>
  <c r="E26" i="15"/>
  <c r="G26" i="15" s="1"/>
  <c r="E28" i="15"/>
  <c r="G28" i="15" s="1"/>
  <c r="E36" i="15"/>
  <c r="G36" i="15" s="1"/>
  <c r="E31" i="15"/>
  <c r="G31" i="15" s="1"/>
  <c r="E33" i="15"/>
  <c r="G33" i="15" s="1"/>
  <c r="E29" i="15"/>
  <c r="G29" i="15" s="1"/>
  <c r="E32" i="15"/>
  <c r="G32" i="15" s="1"/>
  <c r="E30" i="15"/>
  <c r="G30" i="15" s="1"/>
  <c r="E34" i="15"/>
  <c r="G34" i="15" s="1"/>
  <c r="E24" i="15"/>
  <c r="G24" i="15" s="1"/>
  <c r="K7" i="14"/>
  <c r="M7" i="14" s="1"/>
  <c r="K8" i="14"/>
  <c r="M8" i="14" s="1"/>
  <c r="K9" i="14"/>
  <c r="M9" i="14" s="1"/>
  <c r="K16" i="14"/>
  <c r="M16" i="14" s="1"/>
  <c r="K17" i="14"/>
  <c r="M17" i="14" s="1"/>
  <c r="K18" i="14"/>
  <c r="M18" i="14" s="1"/>
  <c r="K15" i="14"/>
  <c r="M15" i="14" s="1"/>
  <c r="K11" i="14"/>
  <c r="M11" i="14" s="1"/>
  <c r="K19" i="14"/>
  <c r="M19" i="14" s="1"/>
  <c r="K12" i="14"/>
  <c r="M12" i="14" s="1"/>
  <c r="K13" i="14"/>
  <c r="M13" i="14" s="1"/>
  <c r="K14" i="14"/>
  <c r="M14" i="14" s="1"/>
  <c r="O81" i="13"/>
  <c r="O89" i="13"/>
  <c r="O82" i="13"/>
  <c r="O90" i="13"/>
  <c r="O83" i="13"/>
  <c r="O91" i="13"/>
  <c r="O84" i="13"/>
  <c r="O92" i="13"/>
  <c r="O85" i="13"/>
  <c r="O86" i="13"/>
  <c r="O87" i="13"/>
  <c r="O88" i="13"/>
  <c r="E34" i="13"/>
  <c r="G34" i="13" s="1"/>
  <c r="E32" i="13"/>
  <c r="G32" i="13" s="1"/>
  <c r="E35" i="13"/>
  <c r="G35" i="13" s="1"/>
  <c r="E31" i="13"/>
  <c r="G31" i="13" s="1"/>
  <c r="E28" i="13"/>
  <c r="G28" i="13" s="1"/>
  <c r="E29" i="13"/>
  <c r="G29" i="13" s="1"/>
  <c r="E36" i="13"/>
  <c r="G36" i="13" s="1"/>
  <c r="E30" i="13"/>
  <c r="G30" i="13" s="1"/>
  <c r="E33" i="13"/>
  <c r="G33" i="13" s="1"/>
  <c r="E38" i="13"/>
  <c r="G38" i="13" s="1"/>
  <c r="E27" i="13"/>
  <c r="G27" i="13" s="1"/>
  <c r="E26" i="13"/>
  <c r="G26" i="13" s="1"/>
  <c r="I38" i="14" a="1"/>
  <c r="I38" i="14" s="1"/>
  <c r="Q83" i="13" l="1"/>
  <c r="Q92" i="13"/>
  <c r="Q84" i="13"/>
  <c r="Q88" i="13"/>
  <c r="Q90" i="13"/>
  <c r="Q91" i="13"/>
  <c r="Q87" i="13"/>
  <c r="Q82" i="13"/>
  <c r="Q89" i="13"/>
  <c r="Q85" i="13"/>
  <c r="Q81" i="13"/>
  <c r="Q86" i="13"/>
  <c r="Q80" i="13"/>
  <c r="K25" i="14"/>
  <c r="M25" i="14" s="1"/>
  <c r="K26" i="14"/>
  <c r="M26" i="14" s="1"/>
  <c r="K34" i="14"/>
  <c r="M34" i="14" s="1"/>
  <c r="K35" i="14"/>
  <c r="M35" i="14" s="1"/>
  <c r="K28" i="14"/>
  <c r="M28" i="14" s="1"/>
  <c r="K36" i="14"/>
  <c r="M36" i="14" s="1"/>
  <c r="K32" i="14"/>
  <c r="M32" i="14" s="1"/>
  <c r="K29" i="14"/>
  <c r="M29" i="14" s="1"/>
  <c r="K37" i="14"/>
  <c r="M37" i="14" s="1"/>
  <c r="K30" i="14"/>
  <c r="M30" i="14" s="1"/>
  <c r="K31" i="14"/>
  <c r="M31" i="14" s="1"/>
  <c r="K33" i="14"/>
  <c r="M33" i="14" s="1"/>
  <c r="K27" i="14"/>
  <c r="M27"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<sst xmlns="http://schemas.openxmlformats.org/spreadsheetml/2006/main" count="1604" uniqueCount="308">
  <si>
    <t>Centre Sud</t>
  </si>
  <si>
    <t>DS Kombissiri</t>
  </si>
  <si>
    <t>DS Manga</t>
  </si>
  <si>
    <t>DS Po</t>
  </si>
  <si>
    <t>DS Sapone</t>
  </si>
  <si>
    <t>Est</t>
  </si>
  <si>
    <t>DS Bogande</t>
  </si>
  <si>
    <t>DS Diapaga</t>
  </si>
  <si>
    <t>DS Fada</t>
  </si>
  <si>
    <t>DS Gayeri</t>
  </si>
  <si>
    <t>DS Manni</t>
  </si>
  <si>
    <t>DS Pama</t>
  </si>
  <si>
    <t>Hauts Bassins</t>
  </si>
  <si>
    <t>DS Dafra</t>
  </si>
  <si>
    <t>DS Dande</t>
  </si>
  <si>
    <t>DS Do</t>
  </si>
  <si>
    <t>DS Hounde</t>
  </si>
  <si>
    <t>DS Karangasso Vigue</t>
  </si>
  <si>
    <t>DS Léna</t>
  </si>
  <si>
    <t>DS N'Dorola</t>
  </si>
  <si>
    <t>DS Orodara</t>
  </si>
  <si>
    <t>Nord</t>
  </si>
  <si>
    <t>DS Gourcy</t>
  </si>
  <si>
    <t>DS Ouahigouya</t>
  </si>
  <si>
    <t>DS Séguénéga</t>
  </si>
  <si>
    <t>DS Thiou</t>
  </si>
  <si>
    <t>DS Titao</t>
  </si>
  <si>
    <t>DS Yako</t>
  </si>
  <si>
    <t>Plateau Central</t>
  </si>
  <si>
    <t>DS Boussé</t>
  </si>
  <si>
    <t>DS Ziniaré</t>
  </si>
  <si>
    <t>DS Zorgho</t>
  </si>
  <si>
    <t>Sahel</t>
  </si>
  <si>
    <t>DS Djibo</t>
  </si>
  <si>
    <t>DS Dori</t>
  </si>
  <si>
    <t>DS Gorom-Gorom</t>
  </si>
  <si>
    <t>DS Sebba</t>
  </si>
  <si>
    <t>Sud Ouest</t>
  </si>
  <si>
    <t>DS Batié</t>
  </si>
  <si>
    <t>DS Dano</t>
  </si>
  <si>
    <t>DS Diébougou</t>
  </si>
  <si>
    <t>DS Gaoua</t>
  </si>
  <si>
    <t>DS Kampti</t>
  </si>
  <si>
    <t>Total</t>
  </si>
  <si>
    <t>Boucle du Mouhoun</t>
  </si>
  <si>
    <t>DS Boromo</t>
  </si>
  <si>
    <t>DS Dedougou</t>
  </si>
  <si>
    <t>DS Nouna</t>
  </si>
  <si>
    <t>DS Solenzo</t>
  </si>
  <si>
    <t>DS Toma</t>
  </si>
  <si>
    <t>DS Tougan</t>
  </si>
  <si>
    <t>Cascades</t>
  </si>
  <si>
    <t>DS Banfora</t>
  </si>
  <si>
    <t>DS Mangodara</t>
  </si>
  <si>
    <t>DS Sindou</t>
  </si>
  <si>
    <t>Centre</t>
  </si>
  <si>
    <t>DS Baskuy</t>
  </si>
  <si>
    <t>DS Bogodogo</t>
  </si>
  <si>
    <t>DS Boulmiougou</t>
  </si>
  <si>
    <t>DS Nongr-Massom</t>
  </si>
  <si>
    <t>DS Sig-Noghin</t>
  </si>
  <si>
    <t>Centre Est</t>
  </si>
  <si>
    <t>DS Bittou</t>
  </si>
  <si>
    <t>DS Garango</t>
  </si>
  <si>
    <t>DS Koupéla</t>
  </si>
  <si>
    <t>DS Ouargaye</t>
  </si>
  <si>
    <t>DS Pouytenga</t>
  </si>
  <si>
    <t>DS Tenkodogo</t>
  </si>
  <si>
    <t>DS Zabré</t>
  </si>
  <si>
    <t>Centre Nord</t>
  </si>
  <si>
    <t>DS Barsalogho</t>
  </si>
  <si>
    <t>DS Boulsa</t>
  </si>
  <si>
    <t>DS Boussouma</t>
  </si>
  <si>
    <t>DS Kaya</t>
  </si>
  <si>
    <t>DS Kongoussi</t>
  </si>
  <si>
    <t>DS Tougouri</t>
  </si>
  <si>
    <t>Centre Ouest</t>
  </si>
  <si>
    <t>DS Koudougou</t>
  </si>
  <si>
    <t>DS Léo</t>
  </si>
  <si>
    <t>DS Nanoro</t>
  </si>
  <si>
    <t>DS Réo</t>
  </si>
  <si>
    <t>DS Sabou</t>
  </si>
  <si>
    <t>DS Sapouy</t>
  </si>
  <si>
    <t>DS Tenado</t>
  </si>
  <si>
    <t>Répartition de la population du Burkina Faso par district</t>
  </si>
  <si>
    <t>Directions régionales</t>
  </si>
  <si>
    <t>Directions centrales</t>
  </si>
  <si>
    <t>% pop.</t>
  </si>
  <si>
    <t>Total Burkina Faso</t>
  </si>
  <si>
    <t>Districts sanitaires</t>
  </si>
  <si>
    <t>Source: Clés de répartion de la DGF</t>
  </si>
  <si>
    <t>Montant</t>
  </si>
  <si>
    <t>Clés de répartition pour les Districts</t>
  </si>
  <si>
    <t>Répartition de la population du Burkina Faso par région</t>
  </si>
  <si>
    <t>Répartition des emplois dans les structures déconcentrées du Ministère de la santé (DRS, DS et Hôpitaux) au 31 décembre 2018</t>
  </si>
  <si>
    <t>Codes</t>
  </si>
  <si>
    <t>Orientations</t>
  </si>
  <si>
    <t>Axes d'intervention</t>
  </si>
  <si>
    <t>Année</t>
  </si>
  <si>
    <t>AI 1.1</t>
  </si>
  <si>
    <t>Renforcement du leadership et de la gouvernance pour plus d’efficacité, d’efficience, de transparence, de redevabilité, d’équité et de prise en compte du genre</t>
  </si>
  <si>
    <t>Renforcement du leadership et de la gouvernance</t>
  </si>
  <si>
    <t>AI 1.2</t>
  </si>
  <si>
    <t>Renforcement de la Planification, du suivi et de l’évaluation</t>
  </si>
  <si>
    <t>AI 1.3</t>
  </si>
  <si>
    <t>Promotion de l’équité et de la prise en compte du Genre dans le secteur de la santé</t>
  </si>
  <si>
    <t>AI 1.4</t>
  </si>
  <si>
    <t>Renforcement de la redevabilité</t>
  </si>
  <si>
    <t>AI 1.5</t>
  </si>
  <si>
    <t>Promotion du secteur privé de santé</t>
  </si>
  <si>
    <t>AI 1.6</t>
  </si>
  <si>
    <t>Amélioration de la disponibilité de l’information sanitaire de qualité</t>
  </si>
  <si>
    <t>AI 1.7</t>
  </si>
  <si>
    <t>Développement de la recherche, fondamentale, opérationnelle et pharmaceutique</t>
  </si>
  <si>
    <t>AI 1.8</t>
  </si>
  <si>
    <t>Amélioration de la mobilisation et de la gestion des ressources financières</t>
  </si>
  <si>
    <t>AI 2.1</t>
  </si>
  <si>
    <t>Développement des ressources humaines pour la santé</t>
  </si>
  <si>
    <t>Renforcement de la production des ressources humaines de qualité</t>
  </si>
  <si>
    <t>AI 2.2</t>
  </si>
  <si>
    <t>Renforcement de la disponibilité et de la qualité de la gestion des ressources humaines</t>
  </si>
  <si>
    <t>AI 3.1</t>
  </si>
  <si>
    <t>Augmentation de l’utilisation des services de santé et de nutrition de qualité pour toute la population en général et des groupes spécifiques en particulier sans risque financier afin de garantir la couverture sanitaire universelle (csu)</t>
  </si>
  <si>
    <t>Accroissement de la protection des populations contre le risque financier</t>
  </si>
  <si>
    <t>AI 3.2</t>
  </si>
  <si>
    <t>Renforcement des infrastructures standardisées et harmonisées</t>
  </si>
  <si>
    <t>AI 3.3</t>
  </si>
  <si>
    <t>Renforcement des équipements, du matériel standardisé et harmonisé et de la logistique</t>
  </si>
  <si>
    <t>AI 3.4</t>
  </si>
  <si>
    <t>Renforcement de la disponibilité et de l’accessibilité en produits de santé de qualité y compris les produits issus de la pharmacopée traditionnelle</t>
  </si>
  <si>
    <t>AI 3.5</t>
  </si>
  <si>
    <t xml:space="preserve">Renforcement de la régulation des produits de santé  </t>
  </si>
  <si>
    <t>AI 3.6</t>
  </si>
  <si>
    <t>Développement de la pharmacie hospitalière</t>
  </si>
  <si>
    <t>AI 3.7</t>
  </si>
  <si>
    <t xml:space="preserve">Renforcement de l’assurance qualité des produits de santé  </t>
  </si>
  <si>
    <t>AI 3.8</t>
  </si>
  <si>
    <t xml:space="preserve">Amélioration de la qualité des analyses de biologie médicale  </t>
  </si>
  <si>
    <t>AI 3.9</t>
  </si>
  <si>
    <t>Promotion de la médecine traditionnelle et alternative</t>
  </si>
  <si>
    <t>AI 3.10</t>
  </si>
  <si>
    <t>Renforcement de l'assurance qualité</t>
  </si>
  <si>
    <t>AI 3.11</t>
  </si>
  <si>
    <t>Amélioration de la disponibilité et l’utilisation des paquets de services essentiels, intégrés, de qualité et à haut impact pour la lutte contre les maladies transmissibles et les maladies tropicales Négligées</t>
  </si>
  <si>
    <t>AI 3.12</t>
  </si>
  <si>
    <t>Amélioration de la disponibilité et de l’utilisation des paquets de services essentiels, intégrés, de qualité et à haut impact pour la prise en charge des maladies non transmissibles et des traumatismes</t>
  </si>
  <si>
    <t>AI 3.13</t>
  </si>
  <si>
    <t>Amélioration de la disponibilité et de l’utilisation des paquets de services essentiels, intégrés, de qualité et à haut impact, en particulier les services de SRMNEA-N, de jeunes et ceux ciblant d’autres groupes spécifiques</t>
  </si>
  <si>
    <t>AI 3.14</t>
  </si>
  <si>
    <t>Amélioration de la disponibilité et de l’utilisation des paquets de services essentiels, intégrés et de qualité pour l’alimentation de la mère, du nourrisson et du jeune enfant</t>
  </si>
  <si>
    <t>AI 3.15</t>
  </si>
  <si>
    <t>Développement de la santé communautaire</t>
  </si>
  <si>
    <t>AI 4.1</t>
  </si>
  <si>
    <t>Adoption par la population d’un mode de vie sain et des comportements favorables à la santé et a l’acceleration de la transition demographique</t>
  </si>
  <si>
    <t>Accroissement de l’utilisation des services préventifs et promotionnels</t>
  </si>
  <si>
    <t>AI 4.2</t>
  </si>
  <si>
    <t>Renforcement de la disponibilité des services de promotion de la santé sexuelle et reproductive</t>
  </si>
  <si>
    <t>AI 4.3</t>
  </si>
  <si>
    <t>Renforcement de la disponibilité des services de promotion de l’alimentation de la femme, du nourrisson et du jeune enfant</t>
  </si>
  <si>
    <t>AI 4.4</t>
  </si>
  <si>
    <t>Développement de l’approche « Communes modèles »</t>
  </si>
  <si>
    <t>AI 5.1</t>
  </si>
  <si>
    <t>Amélioration de la réponse aux situations d’urgences sanitaires</t>
  </si>
  <si>
    <t>Renforcement de la disponibilité de l’offre de services de qualité et à haut impact aux populations en zones touchées par les épidémies, catastrophes et conflits</t>
  </si>
  <si>
    <t>AI 5.2</t>
  </si>
  <si>
    <t>Renforcement des capacités techniques et gestionnaires des hôpitaux face aux situations d’urgences sanitaires</t>
  </si>
  <si>
    <t>AI 5.3</t>
  </si>
  <si>
    <t>Renforcement de la réponse aux maladies émergentes dans le cadre de l’approche « One Health »</t>
  </si>
  <si>
    <t>% effectif</t>
  </si>
  <si>
    <t>Total Renforcement du leadership et de la gouvernance pour plus d’efficacité, d’efficience, de transparence, de redevabilité, d’équité et de prise en compte du genre</t>
  </si>
  <si>
    <t>Total Développement des ressources humaines pour la santé</t>
  </si>
  <si>
    <t>Total Augmentation de l’utilisation des services de santé et de nutrition de qualité pour toute la population en général et des groupes spécifiques en particulier sans risque financier afin de garantir la couverture sanitaire universelle (csu)</t>
  </si>
  <si>
    <t>Total Adoption par la population d’un mode de vie sain et des comportements favorables à la santé et a l’acceleration de la transition demographique</t>
  </si>
  <si>
    <t>Total Amélioration de la réponse aux situations d’urgences sanitaires</t>
  </si>
  <si>
    <t>Clé de répartition</t>
  </si>
  <si>
    <t>Total général 2021</t>
  </si>
  <si>
    <t>Total général 2022</t>
  </si>
  <si>
    <t>Total général 2023</t>
  </si>
  <si>
    <t>Total général 2024</t>
  </si>
  <si>
    <t>Total général 2025</t>
  </si>
  <si>
    <t>Source: Base de données PNDS</t>
  </si>
  <si>
    <t>Clés de répartition des orientations stratégiques et des axes d'intervention 2021-2025</t>
  </si>
  <si>
    <t>Année 2021</t>
  </si>
  <si>
    <t>Source: Comptes de santé</t>
  </si>
  <si>
    <t>Clés de répartition niveaux de soins</t>
  </si>
  <si>
    <t>CHR-CHRU et Polycliniques</t>
  </si>
  <si>
    <t>CHU et Hôpitaux privés/(centres spécialisés)</t>
  </si>
  <si>
    <t>CM,CSPS/CSI/Cliniques d’Accouchement, Infirmeries</t>
  </si>
  <si>
    <t>CMA/HD, cliniques</t>
  </si>
  <si>
    <t>Poste de santé, club de santé, ASBC</t>
  </si>
  <si>
    <t>Répartition par niveaux de soins</t>
  </si>
  <si>
    <t>Année 2022</t>
  </si>
  <si>
    <t>Année 2023</t>
  </si>
  <si>
    <t>Année 2024</t>
  </si>
  <si>
    <t>Année 2025</t>
  </si>
  <si>
    <t>Clés de répartition Maladies</t>
  </si>
  <si>
    <t>Autres services de soins de santé (n.c.a.)</t>
  </si>
  <si>
    <t>Autres produits pharmaceutiques (n.c.a.)</t>
  </si>
  <si>
    <t>Répartition Maladies</t>
  </si>
  <si>
    <t xml:space="preserve"> </t>
  </si>
  <si>
    <t>Tuberculose non spécifiée (n.c.a.)</t>
  </si>
  <si>
    <t>VIH/SIDA et autres MSTs non spécifiées</t>
  </si>
  <si>
    <t>Autres maladies, et maladies non spécifiées, endocriniennes et métaboliques</t>
  </si>
  <si>
    <t>Autres Maladies tropicales n'glig'es</t>
  </si>
  <si>
    <t>Autres maladies, et maladies non spécifiées, non transmissibles (n.c.a)</t>
  </si>
  <si>
    <t>Troubles mentaux, troubles du comportement et affections neurologiques non spécifiés (n.c.a.)</t>
  </si>
  <si>
    <t>Autres maladies, et maladies non spécifiées, cardiovasculaires</t>
  </si>
  <si>
    <t>Paludisme</t>
  </si>
  <si>
    <t>Infections des voies respiratoires</t>
  </si>
  <si>
    <t>Autres maladies, et maladies non spécifiées, infectieuses et parasitaires (n.c.a.)</t>
  </si>
  <si>
    <t>Maladies diarrhéiques</t>
  </si>
  <si>
    <t>Traumatismes</t>
  </si>
  <si>
    <t>Autres maladies/affections et maladies/affections non spécifiées (n.c.a.)</t>
  </si>
  <si>
    <t>Tumeurs</t>
  </si>
  <si>
    <t>Affections périnatales</t>
  </si>
  <si>
    <t>Affections maternelles</t>
  </si>
  <si>
    <t>Carences nutritionnelles</t>
  </si>
  <si>
    <t>Répartition gratuité des soins</t>
  </si>
  <si>
    <t>Biens non sanitaire</t>
  </si>
  <si>
    <t>Autres équipements et services utilisés (n.c.a.)</t>
  </si>
  <si>
    <t>Service de laboratoire et d'imagerie</t>
  </si>
  <si>
    <t>Maladies tropicales négligées</t>
  </si>
  <si>
    <t>Nutrition</t>
  </si>
  <si>
    <t>IST-VIH/SIDA</t>
  </si>
  <si>
    <t>Tuberculose et TB/VIH</t>
  </si>
  <si>
    <t>Maladies non transmissibles</t>
  </si>
  <si>
    <t>Soins Obstétricaux et néonataux d’urgence</t>
  </si>
  <si>
    <t>PCIME/TETU</t>
  </si>
  <si>
    <t>Traumatisme</t>
  </si>
  <si>
    <t>Médicaments et consommables médicaux</t>
  </si>
  <si>
    <t>Equipements non médicaux</t>
  </si>
  <si>
    <t>Equipements médicaux</t>
  </si>
  <si>
    <t>Illustration pour interventions ne concernant que quelques régions</t>
  </si>
  <si>
    <t>Total des régions concernées</t>
  </si>
  <si>
    <t>Régions</t>
  </si>
  <si>
    <t>Clé retenue</t>
  </si>
  <si>
    <t>-</t>
  </si>
  <si>
    <t>Illustration pour interventions ne concernant que quelques districts</t>
  </si>
  <si>
    <t>Total des districts concernés</t>
  </si>
  <si>
    <t>Illustration pour interventions ne concernant que quelques régions / Niveau</t>
  </si>
  <si>
    <t>Illustration pour interventions ne concernant que quelques niveaux de soins</t>
  </si>
  <si>
    <t>Total des niveaux concernés</t>
  </si>
  <si>
    <t>Illustration pour interventions ne concernant que quelques maladies</t>
  </si>
  <si>
    <t>Total des maladies concernées</t>
  </si>
  <si>
    <t>Niveaux de soins</t>
  </si>
  <si>
    <t>Maladies</t>
  </si>
  <si>
    <t>Total des domaines d'intervention</t>
  </si>
  <si>
    <t>Domaines d'intervention</t>
  </si>
  <si>
    <t>Illustration pour interventions ne concernant que quelques domaines d'intervention 2021</t>
  </si>
  <si>
    <t>Districts</t>
  </si>
  <si>
    <t>Tableau 188: Récapitulatif des effectifs par emploi et par région, 
Source : Annuaire stratistique RHS 2022</t>
  </si>
  <si>
    <t>Effectif</t>
  </si>
  <si>
    <r>
      <rPr>
        <sz val="10"/>
        <rFont val="Arial MT"/>
        <family val="2"/>
      </rPr>
      <t>Boucle du Mouhoun</t>
    </r>
  </si>
  <si>
    <r>
      <rPr>
        <sz val="10"/>
        <rFont val="Arial MT"/>
        <family val="2"/>
      </rPr>
      <t>Cascades</t>
    </r>
  </si>
  <si>
    <r>
      <rPr>
        <sz val="10"/>
        <rFont val="Arial MT"/>
        <family val="2"/>
      </rPr>
      <t>Centre</t>
    </r>
  </si>
  <si>
    <r>
      <rPr>
        <sz val="10"/>
        <rFont val="Arial MT"/>
        <family val="2"/>
      </rPr>
      <t>Centre Est</t>
    </r>
  </si>
  <si>
    <r>
      <rPr>
        <sz val="10"/>
        <rFont val="Arial MT"/>
        <family val="2"/>
      </rPr>
      <t>Centre Nord</t>
    </r>
  </si>
  <si>
    <r>
      <rPr>
        <sz val="10"/>
        <rFont val="Arial MT"/>
        <family val="2"/>
      </rPr>
      <t>Centre Ouest</t>
    </r>
  </si>
  <si>
    <r>
      <rPr>
        <sz val="10"/>
        <rFont val="Arial MT"/>
        <family val="2"/>
      </rPr>
      <t>Centre Sud</t>
    </r>
  </si>
  <si>
    <r>
      <rPr>
        <sz val="10"/>
        <rFont val="Arial MT"/>
        <family val="2"/>
      </rPr>
      <t>Est</t>
    </r>
  </si>
  <si>
    <r>
      <rPr>
        <sz val="10"/>
        <rFont val="Arial MT"/>
        <family val="2"/>
      </rPr>
      <t>Hauts Bassins</t>
    </r>
  </si>
  <si>
    <r>
      <rPr>
        <sz val="10"/>
        <rFont val="Arial MT"/>
        <family val="2"/>
      </rPr>
      <t>Nord</t>
    </r>
  </si>
  <si>
    <r>
      <rPr>
        <sz val="10"/>
        <rFont val="Arial MT"/>
        <family val="2"/>
      </rPr>
      <t>Plateau Central</t>
    </r>
  </si>
  <si>
    <r>
      <rPr>
        <sz val="10"/>
        <rFont val="Arial MT"/>
        <family val="2"/>
      </rPr>
      <t>Sahel</t>
    </r>
  </si>
  <si>
    <r>
      <rPr>
        <sz val="10"/>
        <rFont val="Arial MT"/>
        <family val="2"/>
      </rPr>
      <t>Sud Ouest</t>
    </r>
  </si>
  <si>
    <r>
      <rPr>
        <b/>
        <sz val="10"/>
        <rFont val="Arial"/>
        <family val="2"/>
      </rPr>
      <t>Niveau Central</t>
    </r>
  </si>
  <si>
    <r>
      <rPr>
        <b/>
        <sz val="10"/>
        <rFont val="Arial"/>
        <family val="2"/>
      </rPr>
      <t>Burkina Faso</t>
    </r>
  </si>
  <si>
    <t>Effectif des structures centrales et transversales
Source : Annuaire statistique RHS 2022</t>
  </si>
  <si>
    <t>Cabinet</t>
  </si>
  <si>
    <t>SG</t>
  </si>
  <si>
    <t>DGHP</t>
  </si>
  <si>
    <t>DGOS</t>
  </si>
  <si>
    <t>DGAP</t>
  </si>
  <si>
    <t>DGESS</t>
  </si>
  <si>
    <t>Structures transversales (BCMP, DAD, DDII, DGF, DMP, DRH, ITSS)</t>
  </si>
  <si>
    <t>Total structures centrales</t>
  </si>
  <si>
    <t>Source: Annuaire statistique RHS 2022</t>
  </si>
  <si>
    <t>Clés de répartition effectif du ministère de la Santé dans les régions et les structures centrales</t>
  </si>
  <si>
    <t>Niveau Central</t>
  </si>
  <si>
    <t>Total général</t>
  </si>
  <si>
    <t>Clés de répartition pour les régions</t>
  </si>
  <si>
    <t>Source: Annuaire statistique 2022 (Projections RGPH 2019)</t>
  </si>
  <si>
    <t>Clés pour intervention couvrant tous les niveaux</t>
  </si>
  <si>
    <t>15% au niveau central</t>
  </si>
  <si>
    <t>85% au niveau district (désagrégé selon la population des PVVIH par district)</t>
  </si>
  <si>
    <t>Régions/Districts</t>
  </si>
  <si>
    <t>CHR Dédougou</t>
  </si>
  <si>
    <t>CHR Banfora</t>
  </si>
  <si>
    <t>CHU Bogodogo</t>
  </si>
  <si>
    <t>CHU Pédiatrique CDG</t>
  </si>
  <si>
    <t>CHU Tengandogo</t>
  </si>
  <si>
    <t>CHU Yalgado</t>
  </si>
  <si>
    <t>Hôpital Paul VI</t>
  </si>
  <si>
    <t/>
  </si>
  <si>
    <t>Hôpital Saint Camille</t>
  </si>
  <si>
    <t>CHR Tenkodogo</t>
  </si>
  <si>
    <t>CHR Kaya</t>
  </si>
  <si>
    <t>CHR Koudougou</t>
  </si>
  <si>
    <t>CHR Fada N'Gourma</t>
  </si>
  <si>
    <t>CHU Sanou Souro</t>
  </si>
  <si>
    <t>CHUR Ouahigouya</t>
  </si>
  <si>
    <t>CHR Ziniaré</t>
  </si>
  <si>
    <t>CHR Dori</t>
  </si>
  <si>
    <t>CHR Gaoua</t>
  </si>
  <si>
    <t>Total District</t>
  </si>
  <si>
    <t>Total Hôpital</t>
  </si>
  <si>
    <t>Burkina Faso</t>
  </si>
  <si>
    <t>File active PVVIH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</si>
</sst>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31">
    <font>
      <sz val="11"/>
      <color theme="1"/>
      <name val="Calibri"/>
      <family val="2"/>
      <scheme val="minor"/>
    </font>
    <font>
      <sz val="11"/>
      <color theme="1"/>
      <name val="Calibri"/>
      <family val="2"/>
      <scheme val="minor"/>
    </font>
    <font>
      <sz val="10"/>
      <color rgb="FF000000"/>
      <name val="Times New Roman"/>
      <family val="1"/>
    </font>
    <font>
      <sz val="10"/>
      <color rgb="FF000000"/>
      <name val="Arial MT"/>
    </font>
    <font>
      <b/>
      <sz val="10"/>
      <color rgb="FF000000"/>
      <name val="Arial MT"/>
    </font>
    <font>
      <b/>
      <sz val="10"/>
      <name val="Arial MT"/>
    </font>
    <font>
      <sz val="10"/>
      <name val="Arial MT"/>
    </font>
    <font>
      <sz val="10"/>
      <color theme="0"/>
      <name val="Arial MT"/>
    </font>
    <font>
      <b/>
      <sz val="10"/>
      <color theme="0"/>
      <name val="Arial MT"/>
    </font>
    <font>
      <b/>
      <sz val="8"/>
      <color theme="0"/>
      <name val="Arial MT"/>
    </font>
    <font>
      <b/>
      <sz val="11"/>
      <color theme="1"/>
      <name val="Calibri"/>
      <family val="2"/>
      <scheme val="minor"/>
    </font>
    <font>
      <sz val="11"/>
      <color theme="1"/>
      <name val="Arial MT"/>
    </font>
    <font>
      <b/>
      <sz val="11"/>
      <color theme="0"/>
      <name val="Arial MT"/>
    </font>
    <font>
      <b/>
      <sz val="11"/>
      <color theme="1"/>
      <name val="Arial MT"/>
    </font>
    <font>
      <sz val="10"/>
      <color theme="1"/>
      <name val="Arial MT"/>
    </font>
    <font>
      <b/>
      <sz val="10"/>
      <color theme="1"/>
      <name val="Arial MT"/>
    </font>
    <font>
      <b/>
      <u/>
      <sz val="11"/>
      <color theme="1"/>
      <name val="Calibri"/>
      <family val="2"/>
      <scheme val="minor"/>
    </font>
    <font>
      <u/>
      <sz val="11"/>
      <color theme="1"/>
      <name val="Calibri"/>
      <family val="2"/>
      <scheme val="minor"/>
    </font>
    <font>
      <b/>
      <sz val="11"/>
      <color theme="0"/>
      <name val="Calibri"/>
      <family val="2"/>
      <scheme val="minor"/>
    </font>
    <font>
      <b/>
      <sz val="10"/>
      <color rgb="FF000000"/>
      <name val="Times New Roman"/>
      <family val="1"/>
    </font>
    <font>
      <sz val="10"/>
      <name val="Arial MT"/>
      <family val="2"/>
    </font>
    <font>
      <b/>
      <sz val="10"/>
      <name val="Arial"/>
      <family val="2"/>
    </font>
    <font>
      <b/>
      <sz val="9"/>
      <color theme="0"/>
      <name val="Arial"/>
      <family val="2"/>
    </font>
    <font>
      <b/>
      <sz val="10"/>
      <color theme="0"/>
      <name val="Times New Roman"/>
      <family val="1"/>
    </font>
    <font>
      <sz val="11"/>
      <color theme="5" tint="0.79998168889431442"/>
      <name val="Calibri"/>
      <family val="2"/>
      <scheme val="minor"/>
    </font>
    <font>
      <sz val="11"/>
      <color rgb="FF000000"/>
      <name val="Arial"/>
      <family val="2"/>
    </font>
    <font>
      <sz val="11"/>
      <name val="Calibri"/>
      <family val="2"/>
    </font>
    <font>
      <sz val="10"/>
      <color theme="1"/>
      <name val="Arial"/>
      <family val="2"/>
    </font>
    <font>
      <b/>
      <sz val="11"/>
      <color theme="1"/>
      <name val="Arial"/>
      <family val="2"/>
    </font>
    <font>
      <sz val="11"/>
      <color theme="1"/>
      <name val="Arial"/>
      <family val="2"/>
    </font>
    <font>
      <sz val="11"/>
      <color rgb="FFC0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theme="4"/>
        <bgColor indexed="64"/>
      </patternFill>
    </fill>
    <fill>
      <patternFill patternType="solid">
        <fgColor theme="2"/>
        <bgColor indexed="64"/>
      </patternFill>
    </fill>
    <fill>
      <patternFill patternType="solid">
        <fgColor theme="8" tint="0.79998168889431442"/>
        <b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bgColor theme="9"/>
      </patternFill>
    </fill>
    <fill>
      <patternFill patternType="mediumGray">
        <fgColor rgb="FF0070C0"/>
      </patternFill>
    </fill>
  </fills>
  <borders count="20">
    <border>
      <left/>
      <right/>
      <top/>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style="thin">
        <color theme="0"/>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top style="thick">
        <color theme="0"/>
      </top>
      <bottom/>
      <diagonal/>
    </border>
    <border>
      <left style="thin">
        <color theme="0"/>
      </left>
      <right/>
      <top style="thick">
        <color theme="0"/>
      </top>
      <bottom/>
      <diagonal/>
    </border>
    <border>
      <left/>
      <right/>
      <top style="thin">
        <color indexed="64"/>
      </top>
      <bottom style="medium">
        <color indexed="64"/>
      </bottom>
      <diagonal/>
    </border>
    <border>
      <left/>
      <right/>
      <top/>
      <bottom style="medium">
        <color auto="1"/>
      </bottom>
      <diagonal/>
    </border>
  </borders>
  <cellStyleXfs count="5">
    <xf numFmtId="0" fontId="0" fillId="0" borderId="0"/>
    <xf numFmtId="9"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cellStyleXfs>
  <cellXfs count="185">
    <xf numFmtId="0" fontId="0" fillId="0" borderId="0" xfId="0"/>
    <xf numFmtId="0" fontId="6" fillId="0" borderId="12" xfId="2" applyFont="1" applyBorder="1" applyAlignment="1">
      <alignment horizontal="left" vertical="center" wrapText="1"/>
    </xf>
    <xf numFmtId="165" fontId="2" fillId="0" borderId="13" xfId="3" applyNumberFormat="1" applyFont="1" applyBorder="1" applyAlignment="1">
      <alignment horizontal="center" vertical="center"/>
    </xf>
    <xf numFmtId="165" fontId="2" fillId="0" borderId="13" xfId="3" applyNumberFormat="1" applyFont="1" applyFill="1" applyBorder="1" applyAlignment="1">
      <alignment horizontal="center" vertical="center"/>
    </xf>
    <xf numFmtId="0" fontId="21" fillId="0" borderId="12" xfId="2" applyFont="1" applyBorder="1" applyAlignment="1">
      <alignment horizontal="left" vertical="center" wrapText="1"/>
    </xf>
    <xf numFmtId="0" fontId="2" fillId="0" borderId="0" xfId="2" applyAlignment="1">
      <alignment horizontal="left" vertical="center"/>
    </xf>
    <xf numFmtId="165" fontId="2" fillId="0" borderId="0" xfId="3" applyNumberFormat="1" applyFont="1" applyAlignment="1">
      <alignment horizontal="left" vertical="center"/>
    </xf>
    <xf numFmtId="0" fontId="2" fillId="0" borderId="13" xfId="2" applyBorder="1" applyAlignment="1">
      <alignment horizontal="left" vertical="center"/>
    </xf>
    <xf numFmtId="0" fontId="2" fillId="0" borderId="13" xfId="2" applyBorder="1" applyAlignment="1">
      <alignment horizontal="center" vertical="center"/>
    </xf>
    <xf numFmtId="0" fontId="6" fillId="0" borderId="14" xfId="2" applyFont="1" applyBorder="1" applyAlignment="1">
      <alignment horizontal="left" vertical="center" wrapText="1"/>
    </xf>
    <xf numFmtId="165" fontId="2" fillId="0" borderId="15" xfId="3" applyNumberFormat="1" applyFont="1" applyBorder="1" applyAlignment="1">
      <alignment horizontal="center" vertical="center"/>
    </xf>
    <xf numFmtId="0" fontId="22" fillId="5" borderId="0" xfId="2" applyFont="1" applyFill="1" applyAlignment="1">
      <alignment horizontal="left" vertical="center" wrapText="1"/>
    </xf>
    <xf numFmtId="165" fontId="23" fillId="5" borderId="0" xfId="3" applyNumberFormat="1" applyFont="1" applyFill="1" applyBorder="1" applyAlignment="1">
      <alignment horizontal="left" vertical="center"/>
    </xf>
    <xf numFmtId="0" fontId="2" fillId="0" borderId="15" xfId="2" applyBorder="1" applyAlignment="1">
      <alignment horizontal="left" vertical="center"/>
    </xf>
    <xf numFmtId="0" fontId="2" fillId="0" borderId="15" xfId="2" applyBorder="1" applyAlignment="1">
      <alignment horizontal="center" vertical="center"/>
    </xf>
    <xf numFmtId="0" fontId="23" fillId="5" borderId="0" xfId="2" applyFont="1" applyFill="1" applyAlignment="1">
      <alignment horizontal="left" vertical="center" wrapText="1"/>
    </xf>
    <xf numFmtId="0" fontId="23" fillId="5" borderId="0" xfId="2" applyFont="1" applyFill="1" applyAlignment="1">
      <alignment horizontal="left" vertical="center"/>
    </xf>
    <xf numFmtId="0" fontId="19" fillId="0" borderId="13" xfId="2" applyFont="1" applyBorder="1" applyAlignment="1">
      <alignment horizontal="center" vertical="center"/>
    </xf>
    <xf numFmtId="165" fontId="19" fillId="0" borderId="13" xfId="3" applyNumberFormat="1" applyFont="1" applyBorder="1" applyAlignment="1">
      <alignment horizontal="center" vertical="center"/>
    </xf>
    <xf numFmtId="0" fontId="18" fillId="10" borderId="0" xfId="0" applyFont="1" applyFill="1"/>
    <xf numFmtId="0" fontId="18" fillId="10" borderId="6" xfId="0" applyFont="1" applyFill="1" applyBorder="1"/>
    <xf numFmtId="0" fontId="0" fillId="0" borderId="16" xfId="0" applyBorder="1"/>
    <xf numFmtId="0" fontId="0" fillId="0" borderId="17" xfId="0" applyBorder="1"/>
    <xf numFmtId="165" fontId="1" fillId="0" borderId="17" xfId="3" applyNumberFormat="1" applyFont="1" applyFill="1" applyBorder="1"/>
    <xf numFmtId="0" fontId="0" fillId="0" borderId="7" xfId="0" applyBorder="1"/>
    <xf numFmtId="0" fontId="0" fillId="0" borderId="8" xfId="0" applyBorder="1"/>
    <xf numFmtId="165" fontId="1" fillId="0" borderId="8" xfId="3" applyNumberFormat="1" applyFont="1" applyFill="1" applyBorder="1"/>
    <xf numFmtId="165" fontId="10" fillId="0" borderId="8" xfId="0" applyNumberFormat="1" applyFont="1" applyBorder="1"/>
    <xf numFmtId="0" fontId="10" fillId="0" borderId="8" xfId="0" applyFont="1" applyBorder="1"/>
    <xf numFmtId="0" fontId="10" fillId="0" borderId="0" xfId="0" applyFont="1"/>
    <xf numFmtId="165" fontId="1" fillId="0" borderId="0" xfId="3" applyNumberFormat="1" applyFont="1" applyFill="1" applyBorder="1"/>
    <xf numFmtId="0" fontId="8" fillId="4" borderId="0" xfId="2" applyFont="1" applyFill="1" applyAlignment="1" applyProtection="1">
      <alignment horizontal="centerContinuous" vertical="center"/>
      <protection hidden="1"/>
    </xf>
    <xf numFmtId="0" fontId="0" fillId="4" borderId="0" xfId="0" applyFill="1" applyAlignment="1" applyProtection="1">
      <alignment horizontal="centerContinuous"/>
      <protection hidden="1"/>
    </xf>
    <xf numFmtId="0" fontId="9" fillId="4" borderId="0" xfId="2" applyFont="1" applyFill="1" applyAlignment="1" applyProtection="1">
      <alignment horizontal="centerContinuous" vertical="center" wrapText="1"/>
      <protection hidden="1"/>
    </xf>
    <xf numFmtId="0" fontId="9" fillId="0" borderId="0" xfId="2" applyFont="1" applyAlignment="1" applyProtection="1">
      <alignment horizontal="centerContinuous" vertical="center"/>
      <protection hidden="1"/>
    </xf>
    <xf numFmtId="0" fontId="0" fillId="0" borderId="0" xfId="0" applyProtection="1">
      <protection hidden="1"/>
    </xf>
    <xf numFmtId="0" fontId="4" fillId="2" borderId="1" xfId="2" applyFont="1" applyFill="1" applyBorder="1" applyAlignment="1" applyProtection="1">
      <alignment horizontal="left" vertical="center" wrapText="1"/>
      <protection hidden="1"/>
    </xf>
    <xf numFmtId="0" fontId="5" fillId="2" borderId="1" xfId="2" applyFont="1" applyFill="1" applyBorder="1" applyAlignment="1" applyProtection="1">
      <alignment horizontal="right" vertical="center" wrapText="1"/>
      <protection hidden="1"/>
    </xf>
    <xf numFmtId="10" fontId="5" fillId="2" borderId="1" xfId="2" applyNumberFormat="1" applyFont="1" applyFill="1" applyBorder="1" applyAlignment="1" applyProtection="1">
      <alignment horizontal="right" vertical="center" wrapText="1"/>
      <protection hidden="1"/>
    </xf>
    <xf numFmtId="0" fontId="6" fillId="0" borderId="1" xfId="4" applyFont="1" applyBorder="1" applyAlignment="1" applyProtection="1">
      <alignment horizontal="left" vertical="center"/>
      <protection hidden="1"/>
    </xf>
    <xf numFmtId="3" fontId="3" fillId="0" borderId="1" xfId="4" applyNumberFormat="1" applyFont="1" applyBorder="1" applyAlignment="1" applyProtection="1">
      <alignment horizontal="right" vertical="center" shrinkToFit="1"/>
      <protection hidden="1"/>
    </xf>
    <xf numFmtId="10" fontId="5" fillId="0" borderId="4" xfId="1" applyNumberFormat="1" applyFont="1" applyFill="1" applyBorder="1" applyAlignment="1" applyProtection="1">
      <alignment horizontal="right" vertical="center"/>
      <protection hidden="1"/>
    </xf>
    <xf numFmtId="0" fontId="6" fillId="0" borderId="0" xfId="4" applyFont="1" applyAlignment="1" applyProtection="1">
      <alignment horizontal="left" vertical="center"/>
      <protection hidden="1"/>
    </xf>
    <xf numFmtId="3" fontId="3" fillId="0" borderId="0" xfId="4" applyNumberFormat="1" applyFont="1" applyAlignment="1" applyProtection="1">
      <alignment horizontal="right" vertical="center" shrinkToFit="1"/>
      <protection hidden="1"/>
    </xf>
    <xf numFmtId="10" fontId="4" fillId="0" borderId="0" xfId="1" applyNumberFormat="1" applyFont="1" applyFill="1" applyBorder="1" applyAlignment="1" applyProtection="1">
      <alignment horizontal="right" vertical="center"/>
      <protection hidden="1"/>
    </xf>
    <xf numFmtId="0" fontId="5" fillId="3" borderId="5" xfId="2" applyFont="1" applyFill="1" applyBorder="1" applyAlignment="1" applyProtection="1">
      <alignment horizontal="left" vertical="center" wrapText="1"/>
      <protection hidden="1"/>
    </xf>
    <xf numFmtId="3" fontId="4" fillId="3" borderId="5" xfId="2" applyNumberFormat="1" applyFont="1" applyFill="1" applyBorder="1" applyAlignment="1" applyProtection="1">
      <alignment horizontal="right" vertical="center" shrinkToFit="1"/>
      <protection hidden="1"/>
    </xf>
    <xf numFmtId="10" fontId="4" fillId="3" borderId="5" xfId="1" applyNumberFormat="1" applyFont="1" applyFill="1" applyBorder="1" applyAlignment="1" applyProtection="1">
      <alignment horizontal="right" vertical="center"/>
      <protection hidden="1"/>
    </xf>
    <xf numFmtId="0" fontId="27" fillId="0" borderId="18" xfId="0" applyFont="1" applyBorder="1" applyAlignment="1">
      <alignment horizontal="right" wrapText="1"/>
    </xf>
    <xf numFmtId="0" fontId="28" fillId="0" borderId="0" xfId="0" applyFont="1"/>
    <xf numFmtId="3" fontId="28" fillId="0" borderId="0" xfId="0" applyNumberFormat="1" applyFont="1" applyAlignment="1">
      <alignment horizontal="right" vertical="center"/>
    </xf>
    <xf numFmtId="0" fontId="29" fillId="0" borderId="0" xfId="0" applyFont="1"/>
    <xf numFmtId="3" fontId="29" fillId="0" borderId="0" xfId="0" applyNumberFormat="1" applyFont="1" applyAlignment="1">
      <alignment horizontal="right" vertical="center"/>
    </xf>
    <xf numFmtId="3" fontId="28" fillId="0" borderId="0" xfId="0" applyNumberFormat="1" applyFont="1"/>
    <xf numFmtId="0" fontId="29" fillId="0" borderId="0" xfId="0" applyFont="1" applyAlignment="1">
      <alignment horizontal="left" vertical="center"/>
    </xf>
    <xf numFmtId="0" fontId="29" fillId="0" borderId="19" xfId="0" applyFont="1" applyBorder="1"/>
    <xf numFmtId="3" fontId="29" fillId="0" borderId="19" xfId="0" applyNumberFormat="1" applyFont="1" applyBorder="1" applyAlignment="1">
      <alignment horizontal="right" vertical="center"/>
    </xf>
    <xf numFmtId="0" fontId="28" fillId="0" borderId="19" xfId="0" applyFont="1" applyBorder="1"/>
    <xf numFmtId="3" fontId="28" fillId="0" borderId="19" xfId="0" applyNumberFormat="1" applyFont="1" applyBorder="1" applyAlignment="1">
      <alignment horizontal="right" vertical="center"/>
    </xf>
    <xf numFmtId="0" fontId="30" fillId="0" borderId="0" xfId="0" applyFont="1"/>
    <xf numFmtId="0" fontId="25" fillId="0" borderId="18" xfId="0" applyFont="1" applyBorder="1"/>
    <xf numFmtId="0" fontId="26" fillId="0" borderId="18" xfId="0" applyFont="1" applyBorder="1"/>
    <xf numFmtId="0" fontId="24" fillId="11" borderId="0" xfId="0" applyFont="1" applyFill="1" applyProtection="1">
      <protection hidden="1"/>
    </xf>
    <xf numFmtId="0" fontId="8" fillId="4" borderId="0" xfId="2"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9" fillId="4" borderId="0" xfId="2" applyFont="1" applyFill="1" applyAlignment="1" applyProtection="1">
      <alignment horizontal="center" vertical="center" wrapText="1"/>
      <protection hidden="1"/>
    </xf>
    <xf numFmtId="0" fontId="4" fillId="2" borderId="3" xfId="2" applyFont="1" applyFill="1" applyBorder="1" applyAlignment="1" applyProtection="1">
      <alignment horizontal="left" vertical="center"/>
      <protection hidden="1"/>
    </xf>
    <xf numFmtId="165" fontId="8" fillId="4" borderId="0" xfId="3" applyNumberFormat="1" applyFont="1" applyFill="1" applyAlignment="1" applyProtection="1">
      <alignment horizontal="centerContinuous" vertical="center"/>
      <protection hidden="1"/>
    </xf>
    <xf numFmtId="164" fontId="0" fillId="0" borderId="0" xfId="0" applyNumberFormat="1" applyProtection="1">
      <protection hidden="1"/>
    </xf>
    <xf numFmtId="165" fontId="0" fillId="0" borderId="0" xfId="3" applyNumberFormat="1" applyFont="1" applyProtection="1">
      <protection hidden="1"/>
    </xf>
    <xf numFmtId="0" fontId="6" fillId="0" borderId="4" xfId="4" applyFont="1" applyBorder="1" applyAlignment="1" applyProtection="1">
      <alignment horizontal="left" vertical="center"/>
      <protection hidden="1"/>
    </xf>
    <xf numFmtId="0" fontId="6" fillId="0" borderId="4" xfId="2" applyFont="1" applyBorder="1" applyAlignment="1" applyProtection="1">
      <alignment horizontal="left" vertical="center" wrapText="1"/>
      <protection hidden="1"/>
    </xf>
    <xf numFmtId="3" fontId="3" fillId="0" borderId="4" xfId="2" applyNumberFormat="1" applyFont="1" applyBorder="1" applyAlignment="1" applyProtection="1">
      <alignment horizontal="right" vertical="center" shrinkToFit="1"/>
      <protection hidden="1"/>
    </xf>
    <xf numFmtId="10" fontId="4" fillId="3" borderId="4" xfId="1" applyNumberFormat="1" applyFont="1" applyFill="1" applyBorder="1" applyAlignment="1" applyProtection="1">
      <alignment horizontal="right" vertical="center"/>
      <protection hidden="1"/>
    </xf>
    <xf numFmtId="165" fontId="0" fillId="0" borderId="0" xfId="3" applyNumberFormat="1" applyFont="1" applyAlignment="1" applyProtection="1">
      <alignment horizontal="center" vertical="center"/>
      <protection hidden="1"/>
    </xf>
    <xf numFmtId="0" fontId="6" fillId="0" borderId="0" xfId="2" applyFont="1" applyAlignment="1" applyProtection="1">
      <alignment horizontal="left" vertical="center" wrapText="1"/>
      <protection hidden="1"/>
    </xf>
    <xf numFmtId="3" fontId="3" fillId="0" borderId="0" xfId="2" applyNumberFormat="1" applyFont="1" applyAlignment="1" applyProtection="1">
      <alignment horizontal="right" vertical="center" shrinkToFit="1"/>
      <protection hidden="1"/>
    </xf>
    <xf numFmtId="10" fontId="4" fillId="3" borderId="0" xfId="1" applyNumberFormat="1" applyFont="1" applyFill="1" applyBorder="1" applyAlignment="1" applyProtection="1">
      <alignment horizontal="right" vertical="center"/>
      <protection hidden="1"/>
    </xf>
    <xf numFmtId="165" fontId="10" fillId="0" borderId="0" xfId="3" applyNumberFormat="1" applyFont="1" applyProtection="1">
      <protection hidden="1"/>
    </xf>
    <xf numFmtId="0" fontId="4" fillId="9" borderId="1" xfId="2" applyFont="1" applyFill="1" applyBorder="1" applyAlignment="1" applyProtection="1">
      <alignment horizontal="centerContinuous" vertical="center" wrapText="1"/>
      <protection hidden="1"/>
    </xf>
    <xf numFmtId="10" fontId="5" fillId="9" borderId="1" xfId="2" applyNumberFormat="1" applyFont="1" applyFill="1" applyBorder="1" applyAlignment="1" applyProtection="1">
      <alignment horizontal="centerContinuous" vertical="center" wrapText="1"/>
      <protection hidden="1"/>
    </xf>
    <xf numFmtId="0" fontId="16" fillId="0" borderId="0" xfId="0" applyFont="1" applyAlignment="1" applyProtection="1">
      <alignment horizontal="right" vertical="center"/>
      <protection hidden="1"/>
    </xf>
    <xf numFmtId="10" fontId="0" fillId="0" borderId="0" xfId="0" applyNumberFormat="1" applyAlignment="1" applyProtection="1">
      <alignment vertical="center"/>
      <protection hidden="1"/>
    </xf>
    <xf numFmtId="9" fontId="17" fillId="0" borderId="0" xfId="0" applyNumberFormat="1" applyFont="1" applyAlignment="1" applyProtection="1">
      <alignment vertical="center"/>
      <protection hidden="1"/>
    </xf>
    <xf numFmtId="9" fontId="16" fillId="0" borderId="0" xfId="0" applyNumberFormat="1" applyFont="1" applyAlignment="1" applyProtection="1">
      <alignment vertical="center"/>
      <protection hidden="1"/>
    </xf>
    <xf numFmtId="0" fontId="0" fillId="0" borderId="0" xfId="0" applyAlignment="1" applyProtection="1">
      <alignment horizontal="left" vertical="center"/>
      <protection hidden="1"/>
    </xf>
    <xf numFmtId="10" fontId="0" fillId="0" borderId="0" xfId="1" applyNumberFormat="1" applyFont="1" applyAlignment="1" applyProtection="1">
      <alignment vertical="center"/>
      <protection hidden="1"/>
    </xf>
    <xf numFmtId="10" fontId="0" fillId="0" borderId="0" xfId="0" applyNumberFormat="1" applyAlignment="1" applyProtection="1">
      <alignment horizontal="right" vertical="center"/>
      <protection hidden="1"/>
    </xf>
    <xf numFmtId="9" fontId="0" fillId="0" borderId="0" xfId="0" applyNumberFormat="1" applyAlignment="1" applyProtection="1">
      <alignment horizontal="right" vertical="center"/>
      <protection hidden="1"/>
    </xf>
    <xf numFmtId="0" fontId="0" fillId="0" borderId="0" xfId="0" applyAlignment="1" applyProtection="1">
      <alignment horizontal="left"/>
      <protection hidden="1"/>
    </xf>
    <xf numFmtId="10" fontId="0" fillId="0" borderId="0" xfId="1" applyNumberFormat="1" applyFont="1" applyAlignment="1" applyProtection="1">
      <alignment horizontal="center" vertical="center"/>
      <protection hidden="1"/>
    </xf>
    <xf numFmtId="0" fontId="0" fillId="0" borderId="0" xfId="3" applyNumberFormat="1" applyFont="1" applyAlignment="1" applyProtection="1">
      <alignment horizontal="center" vertical="center"/>
      <protection hidden="1"/>
    </xf>
    <xf numFmtId="0" fontId="10" fillId="0" borderId="0" xfId="0" applyFont="1" applyAlignment="1" applyProtection="1">
      <alignment horizontal="right"/>
      <protection hidden="1"/>
    </xf>
    <xf numFmtId="9" fontId="0" fillId="0" borderId="0" xfId="0" applyNumberFormat="1" applyAlignment="1" applyProtection="1">
      <alignment vertical="center"/>
      <protection hidden="1"/>
    </xf>
    <xf numFmtId="9" fontId="10" fillId="0" borderId="0" xfId="0" applyNumberFormat="1" applyFont="1" applyAlignment="1" applyProtection="1">
      <alignment horizontal="right" vertical="center"/>
      <protection hidden="1"/>
    </xf>
    <xf numFmtId="0" fontId="0" fillId="0" borderId="4" xfId="0" applyBorder="1" applyProtection="1">
      <protection hidden="1"/>
    </xf>
    <xf numFmtId="165" fontId="10" fillId="0" borderId="0" xfId="3" applyNumberFormat="1" applyFont="1" applyAlignment="1" applyProtection="1">
      <alignment horizontal="center" vertical="center"/>
      <protection hidden="1"/>
    </xf>
    <xf numFmtId="165" fontId="0" fillId="0" borderId="0" xfId="0" applyNumberFormat="1" applyAlignment="1" applyProtection="1">
      <alignment horizontal="center" vertical="center"/>
      <protection hidden="1"/>
    </xf>
    <xf numFmtId="165" fontId="8" fillId="4" borderId="0" xfId="3" applyNumberFormat="1" applyFont="1" applyFill="1" applyAlignment="1" applyProtection="1">
      <alignment horizontal="centerContinuous" vertical="center"/>
      <protection locked="0" hidden="1"/>
    </xf>
    <xf numFmtId="165" fontId="8" fillId="4" borderId="0" xfId="3" applyNumberFormat="1" applyFont="1" applyFill="1" applyAlignment="1" applyProtection="1">
      <alignment horizontal="center" vertical="center"/>
      <protection locked="0" hidden="1"/>
    </xf>
    <xf numFmtId="0" fontId="0" fillId="0" borderId="0" xfId="0" applyAlignment="1" applyProtection="1">
      <alignment horizontal="left"/>
      <protection locked="0" hidden="1"/>
    </xf>
    <xf numFmtId="0" fontId="7" fillId="4" borderId="0" xfId="2" applyFont="1" applyFill="1" applyAlignment="1" applyProtection="1">
      <alignment horizontal="centerContinuous" vertical="center"/>
      <protection hidden="1"/>
    </xf>
    <xf numFmtId="10" fontId="3" fillId="4" borderId="0" xfId="1" applyNumberFormat="1" applyFont="1" applyFill="1" applyAlignment="1" applyProtection="1">
      <alignment horizontal="centerContinuous" vertical="center"/>
      <protection hidden="1"/>
    </xf>
    <xf numFmtId="10" fontId="3" fillId="0" borderId="0" xfId="1" applyNumberFormat="1" applyFont="1" applyAlignment="1" applyProtection="1">
      <alignment horizontal="right" vertical="center"/>
      <protection hidden="1"/>
    </xf>
    <xf numFmtId="0" fontId="3" fillId="0" borderId="0" xfId="2" applyFont="1" applyAlignment="1" applyProtection="1">
      <alignment horizontal="left" vertical="center"/>
      <protection hidden="1"/>
    </xf>
    <xf numFmtId="0" fontId="4" fillId="0" borderId="0" xfId="2" applyFont="1" applyAlignment="1" applyProtection="1">
      <alignment horizontal="left" vertical="center"/>
      <protection hidden="1"/>
    </xf>
    <xf numFmtId="9" fontId="4" fillId="0" borderId="0" xfId="2" applyNumberFormat="1" applyFont="1" applyAlignment="1" applyProtection="1">
      <alignment horizontal="right" vertical="center"/>
      <protection hidden="1"/>
    </xf>
    <xf numFmtId="10" fontId="3" fillId="0" borderId="0" xfId="1" applyNumberFormat="1" applyFont="1" applyFill="1" applyAlignment="1" applyProtection="1">
      <alignment horizontal="right" vertical="center"/>
      <protection hidden="1"/>
    </xf>
    <xf numFmtId="165" fontId="4" fillId="0" borderId="0" xfId="3" applyNumberFormat="1" applyFont="1" applyAlignment="1" applyProtection="1">
      <alignment horizontal="right" vertical="center"/>
      <protection hidden="1"/>
    </xf>
    <xf numFmtId="165" fontId="3" fillId="0" borderId="0" xfId="3" applyNumberFormat="1" applyFont="1" applyAlignment="1" applyProtection="1">
      <alignment horizontal="right" vertical="center"/>
      <protection hidden="1"/>
    </xf>
    <xf numFmtId="0" fontId="4" fillId="2" borderId="0" xfId="2" applyFont="1" applyFill="1" applyAlignment="1" applyProtection="1">
      <alignment horizontal="left" vertical="center"/>
      <protection hidden="1"/>
    </xf>
    <xf numFmtId="10" fontId="4" fillId="0" borderId="0" xfId="1" applyNumberFormat="1" applyFont="1" applyAlignment="1" applyProtection="1">
      <alignment horizontal="right" vertical="center"/>
      <protection hidden="1"/>
    </xf>
    <xf numFmtId="10" fontId="3" fillId="0" borderId="0" xfId="0" applyNumberFormat="1" applyFont="1" applyAlignment="1" applyProtection="1">
      <alignment horizontal="right" vertical="center"/>
      <protection hidden="1"/>
    </xf>
    <xf numFmtId="10" fontId="3" fillId="0" borderId="4" xfId="0" applyNumberFormat="1" applyFont="1" applyBorder="1" applyAlignment="1" applyProtection="1">
      <alignment horizontal="right" vertical="center"/>
      <protection hidden="1"/>
    </xf>
    <xf numFmtId="0" fontId="3" fillId="0" borderId="4" xfId="2" applyFont="1" applyBorder="1" applyAlignment="1" applyProtection="1">
      <alignment horizontal="left" vertical="center"/>
      <protection hidden="1"/>
    </xf>
    <xf numFmtId="9" fontId="4" fillId="2" borderId="3" xfId="2" applyNumberFormat="1" applyFont="1" applyFill="1" applyBorder="1" applyAlignment="1" applyProtection="1">
      <alignment horizontal="right" vertical="center"/>
      <protection locked="0" hidden="1"/>
    </xf>
    <xf numFmtId="0" fontId="8" fillId="4" borderId="0" xfId="2" applyFont="1" applyFill="1" applyAlignment="1" applyProtection="1">
      <alignment horizontal="centerContinuous" vertical="center" wrapText="1"/>
      <protection hidden="1"/>
    </xf>
    <xf numFmtId="10" fontId="5" fillId="2" borderId="2" xfId="2" applyNumberFormat="1" applyFont="1" applyFill="1" applyBorder="1" applyAlignment="1" applyProtection="1">
      <alignment horizontal="right" vertical="center" wrapText="1"/>
      <protection hidden="1"/>
    </xf>
    <xf numFmtId="165" fontId="3" fillId="0" borderId="0" xfId="3" applyNumberFormat="1" applyFont="1" applyBorder="1" applyAlignment="1" applyProtection="1">
      <alignment horizontal="center" vertical="center"/>
      <protection hidden="1"/>
    </xf>
    <xf numFmtId="165" fontId="3" fillId="0" borderId="0" xfId="3" applyNumberFormat="1" applyFont="1" applyFill="1" applyBorder="1" applyAlignment="1" applyProtection="1">
      <alignment horizontal="center" vertical="center"/>
      <protection hidden="1"/>
    </xf>
    <xf numFmtId="0" fontId="5" fillId="0" borderId="0" xfId="2" applyFont="1" applyAlignment="1" applyProtection="1">
      <alignment horizontal="left" vertical="center" wrapText="1"/>
      <protection hidden="1"/>
    </xf>
    <xf numFmtId="0" fontId="11" fillId="4" borderId="0" xfId="0" applyFont="1" applyFill="1" applyAlignment="1" applyProtection="1">
      <alignment horizontal="centerContinuous"/>
      <protection hidden="1"/>
    </xf>
    <xf numFmtId="0" fontId="11" fillId="0" borderId="0" xfId="0" applyFont="1" applyProtection="1">
      <protection hidden="1"/>
    </xf>
    <xf numFmtId="0" fontId="4" fillId="2" borderId="2" xfId="2" applyFont="1" applyFill="1" applyBorder="1" applyAlignment="1" applyProtection="1">
      <alignment horizontal="left" vertical="center" wrapText="1"/>
      <protection hidden="1"/>
    </xf>
    <xf numFmtId="0" fontId="5" fillId="2" borderId="2" xfId="2" applyFont="1" applyFill="1" applyBorder="1" applyAlignment="1" applyProtection="1">
      <alignment horizontal="right" vertical="center" wrapText="1"/>
      <protection hidden="1"/>
    </xf>
    <xf numFmtId="9" fontId="11" fillId="0" borderId="0" xfId="0" applyNumberFormat="1" applyFont="1" applyProtection="1">
      <protection hidden="1"/>
    </xf>
    <xf numFmtId="165" fontId="11" fillId="0" borderId="0" xfId="0" applyNumberFormat="1" applyFont="1" applyProtection="1">
      <protection hidden="1"/>
    </xf>
    <xf numFmtId="9" fontId="11" fillId="0" borderId="0" xfId="1" applyFont="1" applyProtection="1">
      <protection hidden="1"/>
    </xf>
    <xf numFmtId="9" fontId="15" fillId="2" borderId="5" xfId="1" applyFont="1" applyFill="1" applyBorder="1" applyProtection="1">
      <protection hidden="1"/>
    </xf>
    <xf numFmtId="165" fontId="13" fillId="0" borderId="0" xfId="0" applyNumberFormat="1" applyFont="1" applyProtection="1">
      <protection hidden="1"/>
    </xf>
    <xf numFmtId="0" fontId="12" fillId="4" borderId="0" xfId="2" applyFont="1" applyFill="1" applyAlignment="1" applyProtection="1">
      <alignment horizontal="centerContinuous" vertical="center" wrapText="1"/>
      <protection hidden="1"/>
    </xf>
    <xf numFmtId="0" fontId="11" fillId="4" borderId="0" xfId="0" applyFont="1" applyFill="1" applyAlignment="1" applyProtection="1">
      <alignment horizontal="centerContinuous" vertical="center"/>
      <protection hidden="1"/>
    </xf>
    <xf numFmtId="0" fontId="11" fillId="0" borderId="0" xfId="0" applyFont="1" applyAlignment="1" applyProtection="1">
      <alignment vertical="center"/>
      <protection hidden="1"/>
    </xf>
    <xf numFmtId="165" fontId="11" fillId="0" borderId="0" xfId="0" applyNumberFormat="1" applyFont="1" applyAlignment="1" applyProtection="1">
      <alignment vertical="center"/>
      <protection hidden="1"/>
    </xf>
    <xf numFmtId="0" fontId="8" fillId="0" borderId="0" xfId="2" applyFont="1" applyAlignment="1" applyProtection="1">
      <alignment horizontal="centerContinuous" vertical="center" wrapText="1"/>
      <protection hidden="1"/>
    </xf>
    <xf numFmtId="0" fontId="14" fillId="0" borderId="0" xfId="0" applyFont="1" applyAlignment="1" applyProtection="1">
      <alignment vertical="center"/>
      <protection hidden="1"/>
    </xf>
    <xf numFmtId="165" fontId="14" fillId="0" borderId="0" xfId="0" applyNumberFormat="1" applyFont="1" applyAlignment="1" applyProtection="1">
      <alignment vertical="center"/>
      <protection hidden="1"/>
    </xf>
    <xf numFmtId="0" fontId="3" fillId="0" borderId="0" xfId="2" applyFont="1" applyAlignment="1" applyProtection="1">
      <alignment horizontal="left" vertical="center" wrapText="1"/>
      <protection hidden="1"/>
    </xf>
    <xf numFmtId="0" fontId="0" fillId="8" borderId="0" xfId="0" applyFill="1" applyAlignment="1" applyProtection="1">
      <alignment vertical="center"/>
      <protection hidden="1"/>
    </xf>
    <xf numFmtId="10" fontId="5" fillId="0" borderId="0" xfId="2" applyNumberFormat="1" applyFont="1" applyAlignment="1" applyProtection="1">
      <alignment horizontal="right" vertical="center" wrapText="1"/>
      <protection hidden="1"/>
    </xf>
    <xf numFmtId="9" fontId="5" fillId="0" borderId="0" xfId="2" applyNumberFormat="1" applyFont="1" applyAlignment="1" applyProtection="1">
      <alignment horizontal="right" vertical="center" wrapText="1"/>
      <protection hidden="1"/>
    </xf>
    <xf numFmtId="10" fontId="6" fillId="0" borderId="0" xfId="2" applyNumberFormat="1" applyFont="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9" fontId="15" fillId="2" borderId="5" xfId="1" applyFont="1" applyFill="1" applyBorder="1" applyAlignment="1" applyProtection="1">
      <alignment vertical="center"/>
      <protection hidden="1"/>
    </xf>
    <xf numFmtId="165" fontId="15" fillId="0" borderId="0" xfId="0" applyNumberFormat="1" applyFont="1" applyAlignment="1" applyProtection="1">
      <alignment vertical="center"/>
      <protection hidden="1"/>
    </xf>
    <xf numFmtId="0" fontId="3" fillId="0" borderId="0" xfId="2" applyFont="1" applyAlignment="1" applyProtection="1">
      <alignment vertical="center" wrapText="1"/>
      <protection hidden="1"/>
    </xf>
    <xf numFmtId="10" fontId="15" fillId="0" borderId="0" xfId="0" applyNumberFormat="1" applyFont="1" applyAlignment="1" applyProtection="1">
      <alignment vertical="center"/>
      <protection hidden="1"/>
    </xf>
    <xf numFmtId="10" fontId="14" fillId="0" borderId="0" xfId="0" applyNumberFormat="1" applyFont="1" applyAlignment="1" applyProtection="1">
      <alignment vertical="center"/>
      <protection hidden="1"/>
    </xf>
    <xf numFmtId="0" fontId="6" fillId="0" borderId="0" xfId="2" applyFont="1" applyAlignment="1" applyProtection="1">
      <alignment vertical="center" wrapText="1"/>
      <protection hidden="1"/>
    </xf>
    <xf numFmtId="10" fontId="6" fillId="0" borderId="0" xfId="2" applyNumberFormat="1" applyFont="1" applyAlignment="1" applyProtection="1">
      <alignment vertical="center" wrapText="1"/>
      <protection hidden="1"/>
    </xf>
    <xf numFmtId="0" fontId="14" fillId="0" borderId="0" xfId="0" applyFont="1" applyAlignment="1" applyProtection="1">
      <alignment vertical="center" wrapText="1"/>
      <protection hidden="1"/>
    </xf>
    <xf numFmtId="9" fontId="14" fillId="0" borderId="0" xfId="0" applyNumberFormat="1" applyFont="1" applyAlignment="1" applyProtection="1">
      <alignment vertical="center"/>
      <protection hidden="1"/>
    </xf>
    <xf numFmtId="0" fontId="14" fillId="4" borderId="0" xfId="0" applyFont="1" applyFill="1" applyAlignment="1" applyProtection="1">
      <alignment horizontal="centerContinuous"/>
      <protection hidden="1"/>
    </xf>
    <xf numFmtId="0" fontId="14" fillId="4" borderId="0" xfId="0" applyFont="1" applyFill="1" applyProtection="1">
      <protection hidden="1"/>
    </xf>
    <xf numFmtId="0" fontId="14" fillId="0" borderId="0" xfId="0" applyFont="1" applyProtection="1">
      <protection hidden="1"/>
    </xf>
    <xf numFmtId="0" fontId="14" fillId="0" borderId="0" xfId="0" applyFont="1" applyAlignment="1" applyProtection="1">
      <alignment horizontal="centerContinuous"/>
      <protection hidden="1"/>
    </xf>
    <xf numFmtId="0" fontId="12" fillId="5" borderId="0" xfId="0" applyFont="1" applyFill="1" applyAlignment="1" applyProtection="1">
      <alignment horizontal="centerContinuous" vertical="center"/>
      <protection hidden="1"/>
    </xf>
    <xf numFmtId="165" fontId="11" fillId="0" borderId="0" xfId="3" applyNumberFormat="1" applyFont="1" applyFill="1" applyProtection="1">
      <protection hidden="1"/>
    </xf>
    <xf numFmtId="0" fontId="5" fillId="7" borderId="3" xfId="0" applyFont="1" applyFill="1" applyBorder="1" applyProtection="1">
      <protection hidden="1"/>
    </xf>
    <xf numFmtId="0" fontId="5" fillId="7" borderId="9" xfId="0" applyFont="1" applyFill="1" applyBorder="1" applyProtection="1">
      <protection hidden="1"/>
    </xf>
    <xf numFmtId="0" fontId="14" fillId="0" borderId="6" xfId="0" applyFont="1" applyBorder="1" applyProtection="1">
      <protection hidden="1"/>
    </xf>
    <xf numFmtId="165" fontId="14" fillId="0" borderId="6" xfId="3" applyNumberFormat="1" applyFont="1" applyFill="1" applyBorder="1" applyProtection="1">
      <protection hidden="1"/>
    </xf>
    <xf numFmtId="166" fontId="14" fillId="6" borderId="0" xfId="1" applyNumberFormat="1" applyFont="1" applyFill="1" applyProtection="1">
      <protection hidden="1"/>
    </xf>
    <xf numFmtId="165" fontId="14" fillId="0" borderId="0" xfId="3" applyNumberFormat="1" applyFont="1" applyProtection="1">
      <protection hidden="1"/>
    </xf>
    <xf numFmtId="0" fontId="14" fillId="0" borderId="7" xfId="0" applyFont="1" applyBorder="1" applyProtection="1">
      <protection hidden="1"/>
    </xf>
    <xf numFmtId="0" fontId="14" fillId="0" borderId="8" xfId="0" applyFont="1" applyBorder="1" applyProtection="1">
      <protection hidden="1"/>
    </xf>
    <xf numFmtId="165" fontId="14" fillId="0" borderId="8" xfId="3" applyNumberFormat="1" applyFont="1" applyFill="1" applyBorder="1" applyProtection="1">
      <protection hidden="1"/>
    </xf>
    <xf numFmtId="0" fontId="15" fillId="6" borderId="4" xfId="0" applyFont="1" applyFill="1" applyBorder="1" applyProtection="1">
      <protection hidden="1"/>
    </xf>
    <xf numFmtId="165" fontId="15" fillId="6" borderId="10" xfId="0" applyNumberFormat="1" applyFont="1" applyFill="1" applyBorder="1" applyProtection="1">
      <protection hidden="1"/>
    </xf>
    <xf numFmtId="0" fontId="15" fillId="6" borderId="10" xfId="0" applyFont="1" applyFill="1" applyBorder="1" applyProtection="1">
      <protection hidden="1"/>
    </xf>
    <xf numFmtId="165" fontId="15" fillId="6" borderId="10" xfId="3" applyNumberFormat="1" applyFont="1" applyFill="1" applyBorder="1" applyProtection="1">
      <protection hidden="1"/>
    </xf>
    <xf numFmtId="166" fontId="15" fillId="6" borderId="4" xfId="1" applyNumberFormat="1" applyFont="1" applyFill="1" applyBorder="1" applyProtection="1">
      <protection hidden="1"/>
    </xf>
    <xf numFmtId="0" fontId="15" fillId="0" borderId="0" xfId="0" applyFont="1" applyProtection="1">
      <protection hidden="1"/>
    </xf>
    <xf numFmtId="165" fontId="15" fillId="0" borderId="0" xfId="3" applyNumberFormat="1" applyFont="1" applyProtection="1">
      <protection hidden="1"/>
    </xf>
    <xf numFmtId="0" fontId="15" fillId="6" borderId="5" xfId="0" applyFont="1" applyFill="1" applyBorder="1" applyProtection="1">
      <protection hidden="1"/>
    </xf>
    <xf numFmtId="0" fontId="15" fillId="6" borderId="11" xfId="0" applyFont="1" applyFill="1" applyBorder="1" applyProtection="1">
      <protection hidden="1"/>
    </xf>
    <xf numFmtId="165" fontId="15" fillId="6" borderId="11" xfId="3" applyNumberFormat="1" applyFont="1" applyFill="1" applyBorder="1" applyProtection="1">
      <protection hidden="1"/>
    </xf>
    <xf numFmtId="166" fontId="15" fillId="6" borderId="5" xfId="1" applyNumberFormat="1" applyFont="1" applyFill="1" applyBorder="1" applyProtection="1">
      <protection hidden="1"/>
    </xf>
    <xf numFmtId="0" fontId="15" fillId="2" borderId="5" xfId="0" applyFont="1" applyFill="1" applyBorder="1" applyProtection="1">
      <protection hidden="1"/>
    </xf>
    <xf numFmtId="165" fontId="15" fillId="2" borderId="5" xfId="3" applyNumberFormat="1" applyFont="1" applyFill="1" applyBorder="1" applyProtection="1">
      <protection hidden="1"/>
    </xf>
    <xf numFmtId="166" fontId="15" fillId="2" borderId="5" xfId="1" applyNumberFormat="1" applyFont="1" applyFill="1" applyBorder="1" applyProtection="1">
      <protection hidden="1"/>
    </xf>
    <xf numFmtId="165" fontId="11" fillId="0" borderId="0" xfId="3" applyNumberFormat="1" applyFont="1" applyProtection="1">
      <protection hidden="1"/>
    </xf>
    <xf numFmtId="0" fontId="14" fillId="0" borderId="0" xfId="0" applyFont="1" applyAlignment="1" applyProtection="1">
      <alignment horizontal="center" vertical="center"/>
      <protection hidden="1"/>
    </xf>
    <xf numFmtId="165" fontId="3" fillId="0" borderId="4" xfId="3" applyNumberFormat="1" applyFont="1" applyBorder="1" applyAlignment="1" applyProtection="1">
      <alignment horizontal="center" vertical="center"/>
      <protection hidden="1"/>
    </xf>
  </cellXfs>
  <cellStyles count="5">
    <cellStyle name="Milliers" xfId="3" builtinId="3"/>
    <cellStyle name="Normal" xfId="0" builtinId="0"/>
    <cellStyle name="Normal 2" xfId="2" xr:uid="{70EBC8BE-38FA-4E3E-BB43-07211CADBE9B}"/>
    <cellStyle name="Normal 3" xfId="4" xr:uid="{626C589B-6C3D-414D-A612-5EDC7EFF03E5}"/>
    <cellStyle name="Pourcentage" xfId="1" builtinId="5"/>
  </cellStyles>
  <dxfs count="67">
    <dxf>
      <protection locked="1" hidden="1"/>
    </dxf>
    <dxf>
      <protection locked="1" hidden="1"/>
    </dxf>
    <dxf>
      <numFmt numFmtId="13" formatCode="0%"/>
      <alignment horizontal="right" vertical="center" textRotation="0" wrapText="0" indent="0" justifyLastLine="0" shrinkToFit="0" readingOrder="0"/>
      <protection locked="1" hidden="1"/>
    </dxf>
    <dxf>
      <protection locked="1" hidden="1"/>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protection locked="1" hidden="1"/>
    </dxf>
    <dxf>
      <alignment horizontal="right" vertical="bottom" textRotation="0" wrapText="0" indent="0" justifyLastLine="0" shrinkToFit="0" readingOrder="0"/>
      <protection locked="1" hidden="1"/>
    </dxf>
    <dxf>
      <protection locked="1" hidden="1"/>
    </dxf>
    <dxf>
      <protection locked="1" hidden="1"/>
    </dxf>
    <dxf>
      <numFmt numFmtId="13" formatCode="0%"/>
      <alignment horizontal="right" vertical="center" textRotation="0" wrapText="0" indent="0" justifyLastLine="0" shrinkToFit="0" readingOrder="0"/>
      <protection locked="1" hidden="1"/>
    </dxf>
    <dxf>
      <protection locked="1" hidden="1"/>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protection locked="1" hidden="1"/>
    </dxf>
    <dxf>
      <alignment horizontal="right" vertical="bottom" textRotation="0" wrapText="0" indent="0" justifyLastLine="0" shrinkToFit="0" readingOrder="0"/>
      <protection locked="1" hidden="1"/>
    </dxf>
    <dxf>
      <protection locked="1" hidden="1"/>
    </dxf>
    <dxf>
      <protection locked="1" hidden="1"/>
    </dxf>
    <dxf>
      <numFmt numFmtId="13" formatCode="0%"/>
      <alignment horizontal="right" vertical="center" textRotation="0" wrapText="0" indent="0" justifyLastLine="0" shrinkToFit="0" readingOrder="0"/>
      <protection locked="1" hidden="1"/>
    </dxf>
    <dxf>
      <protection locked="1" hidden="1"/>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protection locked="1" hidden="1"/>
    </dxf>
    <dxf>
      <alignment horizontal="right" vertical="bottom" textRotation="0" wrapText="0" indent="0" justifyLastLine="0" shrinkToFit="0" readingOrder="0"/>
      <protection locked="1" hidden="1"/>
    </dxf>
    <dxf>
      <protection locked="1" hidden="1"/>
    </dxf>
    <dxf>
      <protection locked="1" hidden="1"/>
    </dxf>
    <dxf>
      <numFmt numFmtId="13" formatCode="0%"/>
      <alignment horizontal="right" vertical="center" textRotation="0" wrapText="0" indent="0" justifyLastLine="0" shrinkToFit="0" readingOrder="0"/>
      <protection locked="1" hidden="1"/>
    </dxf>
    <dxf>
      <protection locked="1" hidden="1"/>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protection locked="1" hidden="1"/>
    </dxf>
    <dxf>
      <alignment horizontal="right" vertical="bottom" textRotation="0" wrapText="0" indent="0" justifyLastLine="0" shrinkToFit="0" readingOrder="0"/>
      <protection locked="1" hidden="1"/>
    </dxf>
    <dxf>
      <protection locked="1" hidden="1"/>
    </dxf>
    <dxf>
      <protection locked="1" hidden="1"/>
    </dxf>
    <dxf>
      <numFmt numFmtId="13" formatCode="0%"/>
      <alignment horizontal="right" vertical="center" textRotation="0" wrapText="0" indent="0" justifyLastLine="0" shrinkToFit="0" readingOrder="0"/>
      <protection locked="1" hidden="1"/>
    </dxf>
    <dxf>
      <protection locked="1" hidden="1"/>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protection locked="1" hidden="1"/>
    </dxf>
    <dxf>
      <alignment horizontal="right" vertical="bottom" textRotation="0" wrapText="0" indent="0" justifyLastLine="0" shrinkToFit="0" readingOrder="0"/>
      <protection locked="1" hidden="1"/>
    </dxf>
    <dxf>
      <protection locked="1" hidden="1"/>
    </dxf>
    <dxf>
      <protection locked="1" hidden="1"/>
    </dxf>
    <dxf>
      <numFmt numFmtId="13" formatCode="0%"/>
      <alignment horizontal="right" vertical="center" textRotation="0" wrapText="0" indent="0" justifyLastLine="0" shrinkToFit="0" readingOrder="0"/>
      <protection locked="1" hidden="1"/>
    </dxf>
    <dxf>
      <protection locked="1" hidden="1"/>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protection locked="1" hidden="1"/>
    </dxf>
    <dxf>
      <alignment horizontal="right" vertical="bottom" textRotation="0" wrapText="0" indent="0" justifyLastLine="0" shrinkToFit="0" readingOrder="0"/>
      <protection locked="1" hidden="1"/>
    </dxf>
    <dxf>
      <protection locked="1" hidden="1"/>
    </dxf>
    <dxf>
      <protection locked="1" hidden="1"/>
    </dxf>
    <dxf>
      <numFmt numFmtId="13" formatCode="0%"/>
      <alignment horizontal="right" vertical="center" textRotation="0" wrapText="0" indent="0" justifyLastLine="0" shrinkToFit="0" readingOrder="0"/>
      <protection locked="1" hidden="1"/>
    </dxf>
    <dxf>
      <protection locked="1" hidden="1"/>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protection locked="1" hidden="1"/>
    </dxf>
    <dxf>
      <alignment horizontal="right" vertical="bottom" textRotation="0" wrapText="0" indent="0" justifyLastLine="0" shrinkToFit="0" readingOrder="0"/>
      <protection locked="1" hidden="1"/>
    </dxf>
    <dxf>
      <protection locked="1" hidden="1"/>
    </dxf>
    <dxf>
      <protection locked="1" hidden="1"/>
    </dxf>
    <dxf>
      <numFmt numFmtId="13" formatCode="0%"/>
      <alignment horizontal="right" vertical="center" textRotation="0" wrapText="0" indent="0" justifyLastLine="0" shrinkToFit="0" readingOrder="0"/>
      <protection locked="1" hidden="1"/>
    </dxf>
    <dxf>
      <protection locked="1" hidden="1"/>
    </dxf>
    <dxf>
      <font>
        <b val="0"/>
        <i val="0"/>
        <strike val="0"/>
        <condense val="0"/>
        <extend val="0"/>
        <outline val="0"/>
        <shadow val="0"/>
        <u val="none"/>
        <vertAlign val="baseline"/>
        <sz val="11"/>
        <color theme="1"/>
        <name val="Calibri"/>
        <family val="2"/>
        <scheme val="minor"/>
      </font>
      <numFmt numFmtId="14" formatCode="0.00%"/>
      <alignment horizontal="general" vertical="center" textRotation="0" wrapText="0" indent="0" justifyLastLine="0" shrinkToFit="0" readingOrder="0"/>
      <protection locked="1" hidden="1"/>
    </dxf>
    <dxf>
      <alignment horizontal="right" vertical="bottom" textRotation="0" wrapText="0" indent="0" justifyLastLine="0" shrinkToFit="0" readingOrder="0"/>
      <protection locked="1" hidden="1"/>
    </dxf>
    <dxf>
      <fill>
        <patternFill patternType="solid">
          <fgColor rgb="FFF2F2F2"/>
          <bgColor rgb="FFF2F2F2"/>
        </patternFill>
      </fill>
    </dxf>
    <dxf>
      <fill>
        <patternFill patternType="solid">
          <fgColor rgb="FFD8D8D8"/>
          <bgColor rgb="FFD8D8D8"/>
        </patternFill>
      </fill>
    </dxf>
    <dxf>
      <fill>
        <patternFill>
          <bgColor theme="0" tint="-0.14996795556505021"/>
        </patternFill>
      </fill>
    </dxf>
    <dxf>
      <fill>
        <patternFill>
          <bgColor theme="0" tint="-4.9989318521683403E-2"/>
        </patternFill>
      </fill>
    </dxf>
    <dxf>
      <numFmt numFmtId="3" formatCode="#,##0"/>
      <fill>
        <patternFill patternType="none"/>
      </fill>
    </dxf>
    <dxf>
      <numFmt numFmtId="3" formatCode="#,##0"/>
      <fill>
        <patternFill patternType="none"/>
      </fill>
    </dxf>
    <dxf>
      <numFmt numFmtId="3" formatCode="#,##0"/>
      <fill>
        <patternFill patternType="none"/>
      </fill>
    </dxf>
    <dxf>
      <numFmt numFmtId="3" formatCode="#,##0"/>
      <fill>
        <patternFill patternType="none"/>
      </fill>
    </dxf>
    <dxf>
      <numFmt numFmtId="3" formatCode="#,##0"/>
      <fill>
        <patternFill patternType="none"/>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patternType="solid">
          <fgColor rgb="FFF2F2F2"/>
          <bgColor rgb="FFF2F2F2"/>
        </patternFill>
      </fill>
    </dxf>
    <dxf>
      <fill>
        <patternFill patternType="solid">
          <fgColor rgb="FFF2F2F2"/>
          <bgColor rgb="FFF2F2F2"/>
        </patternFill>
      </fill>
    </dxf>
    <dxf>
      <numFmt numFmtId="3" formatCode="#,##0"/>
      <fill>
        <patternFill patternType="none"/>
      </fill>
    </dxf>
    <dxf>
      <fill>
        <patternFill patternType="solid">
          <fgColor rgb="FFF2F2F2"/>
          <bgColor rgb="FFF2F2F2"/>
        </patternFill>
      </fill>
    </dxf>
    <dxf>
      <fill>
        <patternFill patternType="solid">
          <fgColor rgb="FFF2F2F2"/>
          <bgColor rgb="FFF2F2F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xdr:col>
      <xdr:colOff>73432</xdr:colOff>
      <xdr:row>25</xdr:row>
      <xdr:rowOff>119064</xdr:rowOff>
    </xdr:from>
    <xdr:to>
      <xdr:col>4</xdr:col>
      <xdr:colOff>61509</xdr:colOff>
      <xdr:row>25</xdr:row>
      <xdr:rowOff>119064</xdr:rowOff>
    </xdr:to>
    <xdr:cxnSp macro="">
      <xdr:nvCxnSpPr>
        <xdr:cNvPr id="3" name="Connecteur droit avec flèche 2">
          <a:extLst>
            <a:ext uri="{FF2B5EF4-FFF2-40B4-BE49-F238E27FC236}">
              <a16:creationId xmlns:a16="http://schemas.microsoft.com/office/drawing/2014/main" id="{84C1DD5A-97F1-6A74-0C14-A34077258168}"/>
            </a:ext>
          </a:extLst>
        </xdr:cNvPr>
        <xdr:cNvCxnSpPr/>
      </xdr:nvCxnSpPr>
      <xdr:spPr>
        <a:xfrm>
          <a:off x="3684995" y="4913314"/>
          <a:ext cx="575452"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26</xdr:row>
      <xdr:rowOff>111126</xdr:rowOff>
    </xdr:from>
    <xdr:to>
      <xdr:col>4</xdr:col>
      <xdr:colOff>53571</xdr:colOff>
      <xdr:row>26</xdr:row>
      <xdr:rowOff>111126</xdr:rowOff>
    </xdr:to>
    <xdr:cxnSp macro="">
      <xdr:nvCxnSpPr>
        <xdr:cNvPr id="10" name="Connecteur droit avec flèche 9">
          <a:extLst>
            <a:ext uri="{FF2B5EF4-FFF2-40B4-BE49-F238E27FC236}">
              <a16:creationId xmlns:a16="http://schemas.microsoft.com/office/drawing/2014/main" id="{A9FCB9D1-72A9-999D-DDFF-3809133740E9}"/>
            </a:ext>
          </a:extLst>
        </xdr:cNvPr>
        <xdr:cNvCxnSpPr/>
      </xdr:nvCxnSpPr>
      <xdr:spPr>
        <a:xfrm>
          <a:off x="3677057" y="5087939"/>
          <a:ext cx="575452"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27</xdr:row>
      <xdr:rowOff>111127</xdr:rowOff>
    </xdr:from>
    <xdr:to>
      <xdr:col>4</xdr:col>
      <xdr:colOff>53571</xdr:colOff>
      <xdr:row>27</xdr:row>
      <xdr:rowOff>111127</xdr:rowOff>
    </xdr:to>
    <xdr:cxnSp macro="">
      <xdr:nvCxnSpPr>
        <xdr:cNvPr id="11" name="Connecteur droit avec flèche 10">
          <a:extLst>
            <a:ext uri="{FF2B5EF4-FFF2-40B4-BE49-F238E27FC236}">
              <a16:creationId xmlns:a16="http://schemas.microsoft.com/office/drawing/2014/main" id="{B0382389-C4A6-01A7-F2DB-1CE68E7995A1}"/>
            </a:ext>
          </a:extLst>
        </xdr:cNvPr>
        <xdr:cNvCxnSpPr/>
      </xdr:nvCxnSpPr>
      <xdr:spPr>
        <a:xfrm>
          <a:off x="3677057" y="5270502"/>
          <a:ext cx="575452"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26</xdr:row>
      <xdr:rowOff>111127</xdr:rowOff>
    </xdr:from>
    <xdr:to>
      <xdr:col>4</xdr:col>
      <xdr:colOff>53571</xdr:colOff>
      <xdr:row>26</xdr:row>
      <xdr:rowOff>111127</xdr:rowOff>
    </xdr:to>
    <xdr:cxnSp macro="">
      <xdr:nvCxnSpPr>
        <xdr:cNvPr id="15" name="Connecteur droit avec flèche 14">
          <a:extLst>
            <a:ext uri="{FF2B5EF4-FFF2-40B4-BE49-F238E27FC236}">
              <a16:creationId xmlns:a16="http://schemas.microsoft.com/office/drawing/2014/main" id="{73480139-4014-4D9A-8706-6C1B5C7CF0DE}"/>
            </a:ext>
          </a:extLst>
        </xdr:cNvPr>
        <xdr:cNvCxnSpPr/>
      </xdr:nvCxnSpPr>
      <xdr:spPr>
        <a:xfrm>
          <a:off x="3677057" y="5270502"/>
          <a:ext cx="575452"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28</xdr:row>
      <xdr:rowOff>111127</xdr:rowOff>
    </xdr:from>
    <xdr:to>
      <xdr:col>4</xdr:col>
      <xdr:colOff>53571</xdr:colOff>
      <xdr:row>28</xdr:row>
      <xdr:rowOff>111127</xdr:rowOff>
    </xdr:to>
    <xdr:cxnSp macro="">
      <xdr:nvCxnSpPr>
        <xdr:cNvPr id="17" name="Connecteur droit avec flèche 16">
          <a:extLst>
            <a:ext uri="{FF2B5EF4-FFF2-40B4-BE49-F238E27FC236}">
              <a16:creationId xmlns:a16="http://schemas.microsoft.com/office/drawing/2014/main" id="{9ACAF406-B3B3-4218-895F-FE4022CF95FB}"/>
            </a:ext>
          </a:extLst>
        </xdr:cNvPr>
        <xdr:cNvCxnSpPr/>
      </xdr:nvCxnSpPr>
      <xdr:spPr>
        <a:xfrm>
          <a:off x="3677057" y="5270502"/>
          <a:ext cx="575452"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29</xdr:row>
      <xdr:rowOff>111127</xdr:rowOff>
    </xdr:from>
    <xdr:to>
      <xdr:col>4</xdr:col>
      <xdr:colOff>53571</xdr:colOff>
      <xdr:row>29</xdr:row>
      <xdr:rowOff>111127</xdr:rowOff>
    </xdr:to>
    <xdr:cxnSp macro="">
      <xdr:nvCxnSpPr>
        <xdr:cNvPr id="19" name="Connecteur droit avec flèche 18">
          <a:extLst>
            <a:ext uri="{FF2B5EF4-FFF2-40B4-BE49-F238E27FC236}">
              <a16:creationId xmlns:a16="http://schemas.microsoft.com/office/drawing/2014/main" id="{20CD4726-DA79-4879-ADCB-E92D15CCC2ED}"/>
            </a:ext>
          </a:extLst>
        </xdr:cNvPr>
        <xdr:cNvCxnSpPr/>
      </xdr:nvCxnSpPr>
      <xdr:spPr>
        <a:xfrm>
          <a:off x="3677057" y="5453065"/>
          <a:ext cx="575452"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30</xdr:row>
      <xdr:rowOff>111127</xdr:rowOff>
    </xdr:from>
    <xdr:to>
      <xdr:col>4</xdr:col>
      <xdr:colOff>53571</xdr:colOff>
      <xdr:row>30</xdr:row>
      <xdr:rowOff>111127</xdr:rowOff>
    </xdr:to>
    <xdr:cxnSp macro="">
      <xdr:nvCxnSpPr>
        <xdr:cNvPr id="23" name="Connecteur droit avec flèche 22">
          <a:extLst>
            <a:ext uri="{FF2B5EF4-FFF2-40B4-BE49-F238E27FC236}">
              <a16:creationId xmlns:a16="http://schemas.microsoft.com/office/drawing/2014/main" id="{31BCC994-2789-4DE6-9D1D-2CF939F60541}"/>
            </a:ext>
          </a:extLst>
        </xdr:cNvPr>
        <xdr:cNvCxnSpPr/>
      </xdr:nvCxnSpPr>
      <xdr:spPr>
        <a:xfrm>
          <a:off x="3677057" y="5635627"/>
          <a:ext cx="575452"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38</xdr:row>
      <xdr:rowOff>119064</xdr:rowOff>
    </xdr:from>
    <xdr:to>
      <xdr:col>4</xdr:col>
      <xdr:colOff>61509</xdr:colOff>
      <xdr:row>38</xdr:row>
      <xdr:rowOff>119064</xdr:rowOff>
    </xdr:to>
    <xdr:cxnSp macro="">
      <xdr:nvCxnSpPr>
        <xdr:cNvPr id="27" name="Connecteur droit avec flèche 26">
          <a:extLst>
            <a:ext uri="{FF2B5EF4-FFF2-40B4-BE49-F238E27FC236}">
              <a16:creationId xmlns:a16="http://schemas.microsoft.com/office/drawing/2014/main" id="{AF86F536-481B-40E7-B539-07F86C38F82E}"/>
            </a:ext>
          </a:extLst>
        </xdr:cNvPr>
        <xdr:cNvCxnSpPr/>
      </xdr:nvCxnSpPr>
      <xdr:spPr>
        <a:xfrm>
          <a:off x="3684995" y="4730752"/>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31</xdr:row>
      <xdr:rowOff>111127</xdr:rowOff>
    </xdr:from>
    <xdr:to>
      <xdr:col>4</xdr:col>
      <xdr:colOff>53571</xdr:colOff>
      <xdr:row>31</xdr:row>
      <xdr:rowOff>111127</xdr:rowOff>
    </xdr:to>
    <xdr:cxnSp macro="">
      <xdr:nvCxnSpPr>
        <xdr:cNvPr id="28" name="Connecteur droit avec flèche 27">
          <a:extLst>
            <a:ext uri="{FF2B5EF4-FFF2-40B4-BE49-F238E27FC236}">
              <a16:creationId xmlns:a16="http://schemas.microsoft.com/office/drawing/2014/main" id="{9CCDE508-B6BA-48B3-B291-27C4FEB754F8}"/>
            </a:ext>
          </a:extLst>
        </xdr:cNvPr>
        <xdr:cNvCxnSpPr/>
      </xdr:nvCxnSpPr>
      <xdr:spPr>
        <a:xfrm>
          <a:off x="3677057" y="6000752"/>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32</xdr:row>
      <xdr:rowOff>111127</xdr:rowOff>
    </xdr:from>
    <xdr:to>
      <xdr:col>4</xdr:col>
      <xdr:colOff>53571</xdr:colOff>
      <xdr:row>32</xdr:row>
      <xdr:rowOff>111127</xdr:rowOff>
    </xdr:to>
    <xdr:cxnSp macro="">
      <xdr:nvCxnSpPr>
        <xdr:cNvPr id="32" name="Connecteur droit avec flèche 31">
          <a:extLst>
            <a:ext uri="{FF2B5EF4-FFF2-40B4-BE49-F238E27FC236}">
              <a16:creationId xmlns:a16="http://schemas.microsoft.com/office/drawing/2014/main" id="{3BDD4E50-510F-4259-9DE5-447C4F3D0E5A}"/>
            </a:ext>
          </a:extLst>
        </xdr:cNvPr>
        <xdr:cNvCxnSpPr/>
      </xdr:nvCxnSpPr>
      <xdr:spPr>
        <a:xfrm>
          <a:off x="3677057" y="6183315"/>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33</xdr:row>
      <xdr:rowOff>111127</xdr:rowOff>
    </xdr:from>
    <xdr:to>
      <xdr:col>4</xdr:col>
      <xdr:colOff>53571</xdr:colOff>
      <xdr:row>33</xdr:row>
      <xdr:rowOff>111127</xdr:rowOff>
    </xdr:to>
    <xdr:cxnSp macro="">
      <xdr:nvCxnSpPr>
        <xdr:cNvPr id="36" name="Connecteur droit avec flèche 35">
          <a:extLst>
            <a:ext uri="{FF2B5EF4-FFF2-40B4-BE49-F238E27FC236}">
              <a16:creationId xmlns:a16="http://schemas.microsoft.com/office/drawing/2014/main" id="{D86E920D-69D8-4EC5-A979-1F39E2AB75CB}"/>
            </a:ext>
          </a:extLst>
        </xdr:cNvPr>
        <xdr:cNvCxnSpPr/>
      </xdr:nvCxnSpPr>
      <xdr:spPr>
        <a:xfrm>
          <a:off x="3677057" y="6365877"/>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34</xdr:row>
      <xdr:rowOff>111127</xdr:rowOff>
    </xdr:from>
    <xdr:to>
      <xdr:col>4</xdr:col>
      <xdr:colOff>53571</xdr:colOff>
      <xdr:row>34</xdr:row>
      <xdr:rowOff>111127</xdr:rowOff>
    </xdr:to>
    <xdr:cxnSp macro="">
      <xdr:nvCxnSpPr>
        <xdr:cNvPr id="40" name="Connecteur droit avec flèche 39">
          <a:extLst>
            <a:ext uri="{FF2B5EF4-FFF2-40B4-BE49-F238E27FC236}">
              <a16:creationId xmlns:a16="http://schemas.microsoft.com/office/drawing/2014/main" id="{A4C50AAC-4CF5-4278-980E-05E757B831FB}"/>
            </a:ext>
          </a:extLst>
        </xdr:cNvPr>
        <xdr:cNvCxnSpPr/>
      </xdr:nvCxnSpPr>
      <xdr:spPr>
        <a:xfrm>
          <a:off x="3677057" y="6548440"/>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35</xdr:row>
      <xdr:rowOff>119064</xdr:rowOff>
    </xdr:from>
    <xdr:to>
      <xdr:col>4</xdr:col>
      <xdr:colOff>61509</xdr:colOff>
      <xdr:row>35</xdr:row>
      <xdr:rowOff>119064</xdr:rowOff>
    </xdr:to>
    <xdr:cxnSp macro="">
      <xdr:nvCxnSpPr>
        <xdr:cNvPr id="62" name="Connecteur droit avec flèche 61">
          <a:extLst>
            <a:ext uri="{FF2B5EF4-FFF2-40B4-BE49-F238E27FC236}">
              <a16:creationId xmlns:a16="http://schemas.microsoft.com/office/drawing/2014/main" id="{44A92A7D-63B5-4647-A37D-3B03B2866892}"/>
            </a:ext>
          </a:extLst>
        </xdr:cNvPr>
        <xdr:cNvCxnSpPr/>
      </xdr:nvCxnSpPr>
      <xdr:spPr>
        <a:xfrm>
          <a:off x="3684995" y="5095877"/>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36</xdr:row>
      <xdr:rowOff>119064</xdr:rowOff>
    </xdr:from>
    <xdr:to>
      <xdr:col>4</xdr:col>
      <xdr:colOff>61509</xdr:colOff>
      <xdr:row>36</xdr:row>
      <xdr:rowOff>119064</xdr:rowOff>
    </xdr:to>
    <xdr:cxnSp macro="">
      <xdr:nvCxnSpPr>
        <xdr:cNvPr id="64" name="Connecteur droit avec flèche 63">
          <a:extLst>
            <a:ext uri="{FF2B5EF4-FFF2-40B4-BE49-F238E27FC236}">
              <a16:creationId xmlns:a16="http://schemas.microsoft.com/office/drawing/2014/main" id="{8CA0FC69-AFDC-45B6-996E-DAA8012EA46C}"/>
            </a:ext>
          </a:extLst>
        </xdr:cNvPr>
        <xdr:cNvCxnSpPr/>
      </xdr:nvCxnSpPr>
      <xdr:spPr>
        <a:xfrm>
          <a:off x="3684995" y="5095877"/>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37</xdr:row>
      <xdr:rowOff>119064</xdr:rowOff>
    </xdr:from>
    <xdr:to>
      <xdr:col>4</xdr:col>
      <xdr:colOff>61509</xdr:colOff>
      <xdr:row>37</xdr:row>
      <xdr:rowOff>119064</xdr:rowOff>
    </xdr:to>
    <xdr:cxnSp macro="">
      <xdr:nvCxnSpPr>
        <xdr:cNvPr id="66" name="Connecteur droit avec flèche 65">
          <a:extLst>
            <a:ext uri="{FF2B5EF4-FFF2-40B4-BE49-F238E27FC236}">
              <a16:creationId xmlns:a16="http://schemas.microsoft.com/office/drawing/2014/main" id="{E8A44DB0-C9AF-4152-8C3F-CDE17D1E8AAA}"/>
            </a:ext>
          </a:extLst>
        </xdr:cNvPr>
        <xdr:cNvCxnSpPr/>
      </xdr:nvCxnSpPr>
      <xdr:spPr>
        <a:xfrm>
          <a:off x="3684995" y="5095877"/>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73432</xdr:colOff>
      <xdr:row>79</xdr:row>
      <xdr:rowOff>119064</xdr:rowOff>
    </xdr:from>
    <xdr:to>
      <xdr:col>14</xdr:col>
      <xdr:colOff>61509</xdr:colOff>
      <xdr:row>79</xdr:row>
      <xdr:rowOff>119064</xdr:rowOff>
    </xdr:to>
    <xdr:cxnSp macro="">
      <xdr:nvCxnSpPr>
        <xdr:cNvPr id="68" name="Connecteur droit avec flèche 67">
          <a:extLst>
            <a:ext uri="{FF2B5EF4-FFF2-40B4-BE49-F238E27FC236}">
              <a16:creationId xmlns:a16="http://schemas.microsoft.com/office/drawing/2014/main" id="{EDF11425-6903-433A-A0F8-04C4D11DEABD}"/>
            </a:ext>
          </a:extLst>
        </xdr:cNvPr>
        <xdr:cNvCxnSpPr/>
      </xdr:nvCxnSpPr>
      <xdr:spPr>
        <a:xfrm>
          <a:off x="3684995" y="5040314"/>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65494</xdr:colOff>
      <xdr:row>80</xdr:row>
      <xdr:rowOff>111126</xdr:rowOff>
    </xdr:from>
    <xdr:to>
      <xdr:col>14</xdr:col>
      <xdr:colOff>53571</xdr:colOff>
      <xdr:row>80</xdr:row>
      <xdr:rowOff>111126</xdr:rowOff>
    </xdr:to>
    <xdr:cxnSp macro="">
      <xdr:nvCxnSpPr>
        <xdr:cNvPr id="69" name="Connecteur droit avec flèche 68">
          <a:extLst>
            <a:ext uri="{FF2B5EF4-FFF2-40B4-BE49-F238E27FC236}">
              <a16:creationId xmlns:a16="http://schemas.microsoft.com/office/drawing/2014/main" id="{C620F6F8-0BBC-49B5-9ECA-74BFE240EE41}"/>
            </a:ext>
          </a:extLst>
        </xdr:cNvPr>
        <xdr:cNvCxnSpPr/>
      </xdr:nvCxnSpPr>
      <xdr:spPr>
        <a:xfrm>
          <a:off x="3677057" y="5214939"/>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65494</xdr:colOff>
      <xdr:row>81</xdr:row>
      <xdr:rowOff>111127</xdr:rowOff>
    </xdr:from>
    <xdr:to>
      <xdr:col>14</xdr:col>
      <xdr:colOff>53571</xdr:colOff>
      <xdr:row>81</xdr:row>
      <xdr:rowOff>111127</xdr:rowOff>
    </xdr:to>
    <xdr:cxnSp macro="">
      <xdr:nvCxnSpPr>
        <xdr:cNvPr id="70" name="Connecteur droit avec flèche 69">
          <a:extLst>
            <a:ext uri="{FF2B5EF4-FFF2-40B4-BE49-F238E27FC236}">
              <a16:creationId xmlns:a16="http://schemas.microsoft.com/office/drawing/2014/main" id="{D2165398-4030-482E-958F-C51EDEB614A9}"/>
            </a:ext>
          </a:extLst>
        </xdr:cNvPr>
        <xdr:cNvCxnSpPr/>
      </xdr:nvCxnSpPr>
      <xdr:spPr>
        <a:xfrm>
          <a:off x="3677057" y="5397502"/>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65494</xdr:colOff>
      <xdr:row>82</xdr:row>
      <xdr:rowOff>111127</xdr:rowOff>
    </xdr:from>
    <xdr:to>
      <xdr:col>14</xdr:col>
      <xdr:colOff>53571</xdr:colOff>
      <xdr:row>82</xdr:row>
      <xdr:rowOff>111127</xdr:rowOff>
    </xdr:to>
    <xdr:cxnSp macro="">
      <xdr:nvCxnSpPr>
        <xdr:cNvPr id="72" name="Connecteur droit avec flèche 71">
          <a:extLst>
            <a:ext uri="{FF2B5EF4-FFF2-40B4-BE49-F238E27FC236}">
              <a16:creationId xmlns:a16="http://schemas.microsoft.com/office/drawing/2014/main" id="{F4EAC281-8EA8-48E5-BF1B-981F1024C456}"/>
            </a:ext>
          </a:extLst>
        </xdr:cNvPr>
        <xdr:cNvCxnSpPr/>
      </xdr:nvCxnSpPr>
      <xdr:spPr>
        <a:xfrm>
          <a:off x="3677057" y="5580065"/>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65494</xdr:colOff>
      <xdr:row>83</xdr:row>
      <xdr:rowOff>111127</xdr:rowOff>
    </xdr:from>
    <xdr:to>
      <xdr:col>14</xdr:col>
      <xdr:colOff>53571</xdr:colOff>
      <xdr:row>83</xdr:row>
      <xdr:rowOff>111127</xdr:rowOff>
    </xdr:to>
    <xdr:cxnSp macro="">
      <xdr:nvCxnSpPr>
        <xdr:cNvPr id="73" name="Connecteur droit avec flèche 72">
          <a:extLst>
            <a:ext uri="{FF2B5EF4-FFF2-40B4-BE49-F238E27FC236}">
              <a16:creationId xmlns:a16="http://schemas.microsoft.com/office/drawing/2014/main" id="{E82CD7D5-378A-46D9-8A92-6679E3178BE1}"/>
            </a:ext>
          </a:extLst>
        </xdr:cNvPr>
        <xdr:cNvCxnSpPr/>
      </xdr:nvCxnSpPr>
      <xdr:spPr>
        <a:xfrm>
          <a:off x="3677057" y="5762627"/>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73432</xdr:colOff>
      <xdr:row>92</xdr:row>
      <xdr:rowOff>119064</xdr:rowOff>
    </xdr:from>
    <xdr:to>
      <xdr:col>14</xdr:col>
      <xdr:colOff>61509</xdr:colOff>
      <xdr:row>92</xdr:row>
      <xdr:rowOff>119064</xdr:rowOff>
    </xdr:to>
    <xdr:cxnSp macro="">
      <xdr:nvCxnSpPr>
        <xdr:cNvPr id="75" name="Connecteur droit avec flèche 74">
          <a:extLst>
            <a:ext uri="{FF2B5EF4-FFF2-40B4-BE49-F238E27FC236}">
              <a16:creationId xmlns:a16="http://schemas.microsoft.com/office/drawing/2014/main" id="{91B981CB-1C8A-4969-AC92-A369E973965F}"/>
            </a:ext>
          </a:extLst>
        </xdr:cNvPr>
        <xdr:cNvCxnSpPr/>
      </xdr:nvCxnSpPr>
      <xdr:spPr>
        <a:xfrm>
          <a:off x="3684995" y="7413627"/>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65494</xdr:colOff>
      <xdr:row>85</xdr:row>
      <xdr:rowOff>111127</xdr:rowOff>
    </xdr:from>
    <xdr:to>
      <xdr:col>14</xdr:col>
      <xdr:colOff>53571</xdr:colOff>
      <xdr:row>85</xdr:row>
      <xdr:rowOff>111127</xdr:rowOff>
    </xdr:to>
    <xdr:cxnSp macro="">
      <xdr:nvCxnSpPr>
        <xdr:cNvPr id="76" name="Connecteur droit avec flèche 75">
          <a:extLst>
            <a:ext uri="{FF2B5EF4-FFF2-40B4-BE49-F238E27FC236}">
              <a16:creationId xmlns:a16="http://schemas.microsoft.com/office/drawing/2014/main" id="{0A9E270D-8F69-4E25-BB2B-374F350D16B4}"/>
            </a:ext>
          </a:extLst>
        </xdr:cNvPr>
        <xdr:cNvCxnSpPr/>
      </xdr:nvCxnSpPr>
      <xdr:spPr>
        <a:xfrm>
          <a:off x="3677057" y="6127752"/>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65494</xdr:colOff>
      <xdr:row>86</xdr:row>
      <xdr:rowOff>111127</xdr:rowOff>
    </xdr:from>
    <xdr:to>
      <xdr:col>14</xdr:col>
      <xdr:colOff>53571</xdr:colOff>
      <xdr:row>86</xdr:row>
      <xdr:rowOff>111127</xdr:rowOff>
    </xdr:to>
    <xdr:cxnSp macro="">
      <xdr:nvCxnSpPr>
        <xdr:cNvPr id="77" name="Connecteur droit avec flèche 76">
          <a:extLst>
            <a:ext uri="{FF2B5EF4-FFF2-40B4-BE49-F238E27FC236}">
              <a16:creationId xmlns:a16="http://schemas.microsoft.com/office/drawing/2014/main" id="{5A8B87D6-BFF9-4167-A7EF-9294DA7D786C}"/>
            </a:ext>
          </a:extLst>
        </xdr:cNvPr>
        <xdr:cNvCxnSpPr/>
      </xdr:nvCxnSpPr>
      <xdr:spPr>
        <a:xfrm>
          <a:off x="3677057" y="6310315"/>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65494</xdr:colOff>
      <xdr:row>87</xdr:row>
      <xdr:rowOff>111127</xdr:rowOff>
    </xdr:from>
    <xdr:to>
      <xdr:col>14</xdr:col>
      <xdr:colOff>53571</xdr:colOff>
      <xdr:row>87</xdr:row>
      <xdr:rowOff>111127</xdr:rowOff>
    </xdr:to>
    <xdr:cxnSp macro="">
      <xdr:nvCxnSpPr>
        <xdr:cNvPr id="78" name="Connecteur droit avec flèche 77">
          <a:extLst>
            <a:ext uri="{FF2B5EF4-FFF2-40B4-BE49-F238E27FC236}">
              <a16:creationId xmlns:a16="http://schemas.microsoft.com/office/drawing/2014/main" id="{C206800A-A3E0-4960-AD1E-1860C44FE193}"/>
            </a:ext>
          </a:extLst>
        </xdr:cNvPr>
        <xdr:cNvCxnSpPr/>
      </xdr:nvCxnSpPr>
      <xdr:spPr>
        <a:xfrm>
          <a:off x="3677057" y="6492877"/>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65494</xdr:colOff>
      <xdr:row>88</xdr:row>
      <xdr:rowOff>111127</xdr:rowOff>
    </xdr:from>
    <xdr:to>
      <xdr:col>14</xdr:col>
      <xdr:colOff>53571</xdr:colOff>
      <xdr:row>88</xdr:row>
      <xdr:rowOff>111127</xdr:rowOff>
    </xdr:to>
    <xdr:cxnSp macro="">
      <xdr:nvCxnSpPr>
        <xdr:cNvPr id="79" name="Connecteur droit avec flèche 78">
          <a:extLst>
            <a:ext uri="{FF2B5EF4-FFF2-40B4-BE49-F238E27FC236}">
              <a16:creationId xmlns:a16="http://schemas.microsoft.com/office/drawing/2014/main" id="{09DB4D8B-13AB-466D-885E-C6A1D76694FC}"/>
            </a:ext>
          </a:extLst>
        </xdr:cNvPr>
        <xdr:cNvCxnSpPr/>
      </xdr:nvCxnSpPr>
      <xdr:spPr>
        <a:xfrm>
          <a:off x="3677057" y="6675440"/>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73432</xdr:colOff>
      <xdr:row>89</xdr:row>
      <xdr:rowOff>119064</xdr:rowOff>
    </xdr:from>
    <xdr:to>
      <xdr:col>14</xdr:col>
      <xdr:colOff>61509</xdr:colOff>
      <xdr:row>89</xdr:row>
      <xdr:rowOff>119064</xdr:rowOff>
    </xdr:to>
    <xdr:cxnSp macro="">
      <xdr:nvCxnSpPr>
        <xdr:cNvPr id="80" name="Connecteur droit avec flèche 79">
          <a:extLst>
            <a:ext uri="{FF2B5EF4-FFF2-40B4-BE49-F238E27FC236}">
              <a16:creationId xmlns:a16="http://schemas.microsoft.com/office/drawing/2014/main" id="{8400D7D1-D023-4327-8AD7-12DF5D71F2CE}"/>
            </a:ext>
          </a:extLst>
        </xdr:cNvPr>
        <xdr:cNvCxnSpPr/>
      </xdr:nvCxnSpPr>
      <xdr:spPr>
        <a:xfrm>
          <a:off x="3684995" y="6865939"/>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73432</xdr:colOff>
      <xdr:row>90</xdr:row>
      <xdr:rowOff>119064</xdr:rowOff>
    </xdr:from>
    <xdr:to>
      <xdr:col>14</xdr:col>
      <xdr:colOff>61509</xdr:colOff>
      <xdr:row>90</xdr:row>
      <xdr:rowOff>119064</xdr:rowOff>
    </xdr:to>
    <xdr:cxnSp macro="">
      <xdr:nvCxnSpPr>
        <xdr:cNvPr id="81" name="Connecteur droit avec flèche 80">
          <a:extLst>
            <a:ext uri="{FF2B5EF4-FFF2-40B4-BE49-F238E27FC236}">
              <a16:creationId xmlns:a16="http://schemas.microsoft.com/office/drawing/2014/main" id="{EAC76D54-0CB0-4DA1-ACA5-173DF25E4EB7}"/>
            </a:ext>
          </a:extLst>
        </xdr:cNvPr>
        <xdr:cNvCxnSpPr/>
      </xdr:nvCxnSpPr>
      <xdr:spPr>
        <a:xfrm>
          <a:off x="3684995" y="7048502"/>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73432</xdr:colOff>
      <xdr:row>91</xdr:row>
      <xdr:rowOff>119064</xdr:rowOff>
    </xdr:from>
    <xdr:to>
      <xdr:col>14</xdr:col>
      <xdr:colOff>61509</xdr:colOff>
      <xdr:row>91</xdr:row>
      <xdr:rowOff>119064</xdr:rowOff>
    </xdr:to>
    <xdr:cxnSp macro="">
      <xdr:nvCxnSpPr>
        <xdr:cNvPr id="82" name="Connecteur droit avec flèche 81">
          <a:extLst>
            <a:ext uri="{FF2B5EF4-FFF2-40B4-BE49-F238E27FC236}">
              <a16:creationId xmlns:a16="http://schemas.microsoft.com/office/drawing/2014/main" id="{F6381570-4847-4A07-8868-46C4B3EE8BE6}"/>
            </a:ext>
          </a:extLst>
        </xdr:cNvPr>
        <xdr:cNvCxnSpPr/>
      </xdr:nvCxnSpPr>
      <xdr:spPr>
        <a:xfrm>
          <a:off x="3684995" y="7231064"/>
          <a:ext cx="758014"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73432</xdr:colOff>
      <xdr:row>89</xdr:row>
      <xdr:rowOff>119064</xdr:rowOff>
    </xdr:from>
    <xdr:to>
      <xdr:col>14</xdr:col>
      <xdr:colOff>61509</xdr:colOff>
      <xdr:row>89</xdr:row>
      <xdr:rowOff>119064</xdr:rowOff>
    </xdr:to>
    <xdr:cxnSp macro="">
      <xdr:nvCxnSpPr>
        <xdr:cNvPr id="92" name="Connecteur droit avec flèche 91">
          <a:extLst>
            <a:ext uri="{FF2B5EF4-FFF2-40B4-BE49-F238E27FC236}">
              <a16:creationId xmlns:a16="http://schemas.microsoft.com/office/drawing/2014/main" id="{692EFACE-B217-4D63-AE44-A0E313BC595D}"/>
            </a:ext>
          </a:extLst>
        </xdr:cNvPr>
        <xdr:cNvCxnSpPr/>
      </xdr:nvCxnSpPr>
      <xdr:spPr>
        <a:xfrm>
          <a:off x="11749495" y="15049502"/>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73432</xdr:colOff>
      <xdr:row>90</xdr:row>
      <xdr:rowOff>119064</xdr:rowOff>
    </xdr:from>
    <xdr:to>
      <xdr:col>14</xdr:col>
      <xdr:colOff>61509</xdr:colOff>
      <xdr:row>90</xdr:row>
      <xdr:rowOff>119064</xdr:rowOff>
    </xdr:to>
    <xdr:cxnSp macro="">
      <xdr:nvCxnSpPr>
        <xdr:cNvPr id="93" name="Connecteur droit avec flèche 92">
          <a:extLst>
            <a:ext uri="{FF2B5EF4-FFF2-40B4-BE49-F238E27FC236}">
              <a16:creationId xmlns:a16="http://schemas.microsoft.com/office/drawing/2014/main" id="{49CC3A90-E6F6-4CE8-BE6D-905C3A7AFDD6}"/>
            </a:ext>
          </a:extLst>
        </xdr:cNvPr>
        <xdr:cNvCxnSpPr/>
      </xdr:nvCxnSpPr>
      <xdr:spPr>
        <a:xfrm>
          <a:off x="11749495" y="15049502"/>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73432</xdr:colOff>
      <xdr:row>91</xdr:row>
      <xdr:rowOff>119064</xdr:rowOff>
    </xdr:from>
    <xdr:to>
      <xdr:col>14</xdr:col>
      <xdr:colOff>61509</xdr:colOff>
      <xdr:row>91</xdr:row>
      <xdr:rowOff>119064</xdr:rowOff>
    </xdr:to>
    <xdr:cxnSp macro="">
      <xdr:nvCxnSpPr>
        <xdr:cNvPr id="94" name="Connecteur droit avec flèche 93">
          <a:extLst>
            <a:ext uri="{FF2B5EF4-FFF2-40B4-BE49-F238E27FC236}">
              <a16:creationId xmlns:a16="http://schemas.microsoft.com/office/drawing/2014/main" id="{D632A07E-7C38-4D5A-A2A8-9D4420AFF5A9}"/>
            </a:ext>
          </a:extLst>
        </xdr:cNvPr>
        <xdr:cNvCxnSpPr/>
      </xdr:nvCxnSpPr>
      <xdr:spPr>
        <a:xfrm>
          <a:off x="11749495" y="15049502"/>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52917</xdr:colOff>
      <xdr:row>84</xdr:row>
      <xdr:rowOff>105833</xdr:rowOff>
    </xdr:from>
    <xdr:to>
      <xdr:col>14</xdr:col>
      <xdr:colOff>40994</xdr:colOff>
      <xdr:row>84</xdr:row>
      <xdr:rowOff>105833</xdr:rowOff>
    </xdr:to>
    <xdr:cxnSp macro="">
      <xdr:nvCxnSpPr>
        <xdr:cNvPr id="6" name="Connecteur droit avec flèche 5">
          <a:extLst>
            <a:ext uri="{FF2B5EF4-FFF2-40B4-BE49-F238E27FC236}">
              <a16:creationId xmlns:a16="http://schemas.microsoft.com/office/drawing/2014/main" id="{0BFC535C-4F86-4B0B-B58D-4CE34973D31B}"/>
            </a:ext>
          </a:extLst>
        </xdr:cNvPr>
        <xdr:cNvCxnSpPr/>
      </xdr:nvCxnSpPr>
      <xdr:spPr>
        <a:xfrm>
          <a:off x="10562167" y="15430500"/>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73432</xdr:colOff>
      <xdr:row>6</xdr:row>
      <xdr:rowOff>119064</xdr:rowOff>
    </xdr:from>
    <xdr:to>
      <xdr:col>10</xdr:col>
      <xdr:colOff>61509</xdr:colOff>
      <xdr:row>6</xdr:row>
      <xdr:rowOff>119064</xdr:rowOff>
    </xdr:to>
    <xdr:cxnSp macro="">
      <xdr:nvCxnSpPr>
        <xdr:cNvPr id="17" name="Connecteur droit avec flèche 16">
          <a:extLst>
            <a:ext uri="{FF2B5EF4-FFF2-40B4-BE49-F238E27FC236}">
              <a16:creationId xmlns:a16="http://schemas.microsoft.com/office/drawing/2014/main" id="{9201A390-1601-490E-831E-C5A9E789796C}"/>
            </a:ext>
          </a:extLst>
        </xdr:cNvPr>
        <xdr:cNvCxnSpPr/>
      </xdr:nvCxnSpPr>
      <xdr:spPr>
        <a:xfrm>
          <a:off x="3686582" y="492601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7</xdr:row>
      <xdr:rowOff>111126</xdr:rowOff>
    </xdr:from>
    <xdr:to>
      <xdr:col>10</xdr:col>
      <xdr:colOff>53571</xdr:colOff>
      <xdr:row>7</xdr:row>
      <xdr:rowOff>111126</xdr:rowOff>
    </xdr:to>
    <xdr:cxnSp macro="">
      <xdr:nvCxnSpPr>
        <xdr:cNvPr id="18" name="Connecteur droit avec flèche 17">
          <a:extLst>
            <a:ext uri="{FF2B5EF4-FFF2-40B4-BE49-F238E27FC236}">
              <a16:creationId xmlns:a16="http://schemas.microsoft.com/office/drawing/2014/main" id="{AEB0B65B-0C6F-40F7-8D23-5448EEBF1403}"/>
            </a:ext>
          </a:extLst>
        </xdr:cNvPr>
        <xdr:cNvCxnSpPr/>
      </xdr:nvCxnSpPr>
      <xdr:spPr>
        <a:xfrm>
          <a:off x="3678644" y="5102226"/>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8</xdr:row>
      <xdr:rowOff>111127</xdr:rowOff>
    </xdr:from>
    <xdr:to>
      <xdr:col>10</xdr:col>
      <xdr:colOff>53571</xdr:colOff>
      <xdr:row>8</xdr:row>
      <xdr:rowOff>111127</xdr:rowOff>
    </xdr:to>
    <xdr:cxnSp macro="">
      <xdr:nvCxnSpPr>
        <xdr:cNvPr id="19" name="Connecteur droit avec flèche 18">
          <a:extLst>
            <a:ext uri="{FF2B5EF4-FFF2-40B4-BE49-F238E27FC236}">
              <a16:creationId xmlns:a16="http://schemas.microsoft.com/office/drawing/2014/main" id="{722F2BC3-9C21-4FD5-85F7-FA83C76A12F7}"/>
            </a:ext>
          </a:extLst>
        </xdr:cNvPr>
        <xdr:cNvCxnSpPr/>
      </xdr:nvCxnSpPr>
      <xdr:spPr>
        <a:xfrm>
          <a:off x="3678644" y="528637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7</xdr:row>
      <xdr:rowOff>111127</xdr:rowOff>
    </xdr:from>
    <xdr:to>
      <xdr:col>10</xdr:col>
      <xdr:colOff>53571</xdr:colOff>
      <xdr:row>7</xdr:row>
      <xdr:rowOff>111127</xdr:rowOff>
    </xdr:to>
    <xdr:cxnSp macro="">
      <xdr:nvCxnSpPr>
        <xdr:cNvPr id="20" name="Connecteur droit avec flèche 19">
          <a:extLst>
            <a:ext uri="{FF2B5EF4-FFF2-40B4-BE49-F238E27FC236}">
              <a16:creationId xmlns:a16="http://schemas.microsoft.com/office/drawing/2014/main" id="{08F1B046-7DC3-450E-B363-17D0A43549C8}"/>
            </a:ext>
          </a:extLst>
        </xdr:cNvPr>
        <xdr:cNvCxnSpPr/>
      </xdr:nvCxnSpPr>
      <xdr:spPr>
        <a:xfrm>
          <a:off x="3678644" y="51022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9</xdr:row>
      <xdr:rowOff>111127</xdr:rowOff>
    </xdr:from>
    <xdr:to>
      <xdr:col>10</xdr:col>
      <xdr:colOff>53571</xdr:colOff>
      <xdr:row>9</xdr:row>
      <xdr:rowOff>111127</xdr:rowOff>
    </xdr:to>
    <xdr:cxnSp macro="">
      <xdr:nvCxnSpPr>
        <xdr:cNvPr id="21" name="Connecteur droit avec flèche 20">
          <a:extLst>
            <a:ext uri="{FF2B5EF4-FFF2-40B4-BE49-F238E27FC236}">
              <a16:creationId xmlns:a16="http://schemas.microsoft.com/office/drawing/2014/main" id="{2DD242CF-FB0C-4C5F-94E7-2D7764A95335}"/>
            </a:ext>
          </a:extLst>
        </xdr:cNvPr>
        <xdr:cNvCxnSpPr/>
      </xdr:nvCxnSpPr>
      <xdr:spPr>
        <a:xfrm>
          <a:off x="3678644" y="54705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10</xdr:row>
      <xdr:rowOff>111127</xdr:rowOff>
    </xdr:from>
    <xdr:to>
      <xdr:col>10</xdr:col>
      <xdr:colOff>53571</xdr:colOff>
      <xdr:row>10</xdr:row>
      <xdr:rowOff>111127</xdr:rowOff>
    </xdr:to>
    <xdr:cxnSp macro="">
      <xdr:nvCxnSpPr>
        <xdr:cNvPr id="22" name="Connecteur droit avec flèche 21">
          <a:extLst>
            <a:ext uri="{FF2B5EF4-FFF2-40B4-BE49-F238E27FC236}">
              <a16:creationId xmlns:a16="http://schemas.microsoft.com/office/drawing/2014/main" id="{5B669D92-BE10-4468-AE36-23A183003FDF}"/>
            </a:ext>
          </a:extLst>
        </xdr:cNvPr>
        <xdr:cNvCxnSpPr/>
      </xdr:nvCxnSpPr>
      <xdr:spPr>
        <a:xfrm>
          <a:off x="3678644" y="565467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11</xdr:row>
      <xdr:rowOff>111127</xdr:rowOff>
    </xdr:from>
    <xdr:to>
      <xdr:col>10</xdr:col>
      <xdr:colOff>53571</xdr:colOff>
      <xdr:row>11</xdr:row>
      <xdr:rowOff>111127</xdr:rowOff>
    </xdr:to>
    <xdr:cxnSp macro="">
      <xdr:nvCxnSpPr>
        <xdr:cNvPr id="23" name="Connecteur droit avec flèche 22">
          <a:extLst>
            <a:ext uri="{FF2B5EF4-FFF2-40B4-BE49-F238E27FC236}">
              <a16:creationId xmlns:a16="http://schemas.microsoft.com/office/drawing/2014/main" id="{1CABF131-87B8-49DA-B8A6-7AED008CF68B}"/>
            </a:ext>
          </a:extLst>
        </xdr:cNvPr>
        <xdr:cNvCxnSpPr/>
      </xdr:nvCxnSpPr>
      <xdr:spPr>
        <a:xfrm>
          <a:off x="3678644" y="58388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19</xdr:row>
      <xdr:rowOff>119064</xdr:rowOff>
    </xdr:from>
    <xdr:to>
      <xdr:col>10</xdr:col>
      <xdr:colOff>61509</xdr:colOff>
      <xdr:row>19</xdr:row>
      <xdr:rowOff>119064</xdr:rowOff>
    </xdr:to>
    <xdr:cxnSp macro="">
      <xdr:nvCxnSpPr>
        <xdr:cNvPr id="24" name="Connecteur droit avec flèche 23">
          <a:extLst>
            <a:ext uri="{FF2B5EF4-FFF2-40B4-BE49-F238E27FC236}">
              <a16:creationId xmlns:a16="http://schemas.microsoft.com/office/drawing/2014/main" id="{8CB8952B-918E-4A8C-B308-B9E7894DD997}"/>
            </a:ext>
          </a:extLst>
        </xdr:cNvPr>
        <xdr:cNvCxnSpPr/>
      </xdr:nvCxnSpPr>
      <xdr:spPr>
        <a:xfrm>
          <a:off x="3686582" y="731996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12</xdr:row>
      <xdr:rowOff>111127</xdr:rowOff>
    </xdr:from>
    <xdr:to>
      <xdr:col>10</xdr:col>
      <xdr:colOff>53571</xdr:colOff>
      <xdr:row>12</xdr:row>
      <xdr:rowOff>111127</xdr:rowOff>
    </xdr:to>
    <xdr:cxnSp macro="">
      <xdr:nvCxnSpPr>
        <xdr:cNvPr id="25" name="Connecteur droit avec flèche 24">
          <a:extLst>
            <a:ext uri="{FF2B5EF4-FFF2-40B4-BE49-F238E27FC236}">
              <a16:creationId xmlns:a16="http://schemas.microsoft.com/office/drawing/2014/main" id="{C1A5702F-63C7-488D-8936-C0DD80E2A0A1}"/>
            </a:ext>
          </a:extLst>
        </xdr:cNvPr>
        <xdr:cNvCxnSpPr/>
      </xdr:nvCxnSpPr>
      <xdr:spPr>
        <a:xfrm>
          <a:off x="3678644" y="602297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13</xdr:row>
      <xdr:rowOff>111127</xdr:rowOff>
    </xdr:from>
    <xdr:to>
      <xdr:col>10</xdr:col>
      <xdr:colOff>53571</xdr:colOff>
      <xdr:row>13</xdr:row>
      <xdr:rowOff>111127</xdr:rowOff>
    </xdr:to>
    <xdr:cxnSp macro="">
      <xdr:nvCxnSpPr>
        <xdr:cNvPr id="26" name="Connecteur droit avec flèche 25">
          <a:extLst>
            <a:ext uri="{FF2B5EF4-FFF2-40B4-BE49-F238E27FC236}">
              <a16:creationId xmlns:a16="http://schemas.microsoft.com/office/drawing/2014/main" id="{FAF09ECD-3240-4C5A-94F8-CAD5D1258258}"/>
            </a:ext>
          </a:extLst>
        </xdr:cNvPr>
        <xdr:cNvCxnSpPr/>
      </xdr:nvCxnSpPr>
      <xdr:spPr>
        <a:xfrm>
          <a:off x="3678644" y="62071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14</xdr:row>
      <xdr:rowOff>111127</xdr:rowOff>
    </xdr:from>
    <xdr:to>
      <xdr:col>10</xdr:col>
      <xdr:colOff>53571</xdr:colOff>
      <xdr:row>14</xdr:row>
      <xdr:rowOff>111127</xdr:rowOff>
    </xdr:to>
    <xdr:cxnSp macro="">
      <xdr:nvCxnSpPr>
        <xdr:cNvPr id="27" name="Connecteur droit avec flèche 26">
          <a:extLst>
            <a:ext uri="{FF2B5EF4-FFF2-40B4-BE49-F238E27FC236}">
              <a16:creationId xmlns:a16="http://schemas.microsoft.com/office/drawing/2014/main" id="{5E3A617E-5CE1-4B6A-8742-187EA14C6F74}"/>
            </a:ext>
          </a:extLst>
        </xdr:cNvPr>
        <xdr:cNvCxnSpPr/>
      </xdr:nvCxnSpPr>
      <xdr:spPr>
        <a:xfrm>
          <a:off x="3678644" y="639127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15</xdr:row>
      <xdr:rowOff>111127</xdr:rowOff>
    </xdr:from>
    <xdr:to>
      <xdr:col>10</xdr:col>
      <xdr:colOff>53571</xdr:colOff>
      <xdr:row>15</xdr:row>
      <xdr:rowOff>111127</xdr:rowOff>
    </xdr:to>
    <xdr:cxnSp macro="">
      <xdr:nvCxnSpPr>
        <xdr:cNvPr id="28" name="Connecteur droit avec flèche 27">
          <a:extLst>
            <a:ext uri="{FF2B5EF4-FFF2-40B4-BE49-F238E27FC236}">
              <a16:creationId xmlns:a16="http://schemas.microsoft.com/office/drawing/2014/main" id="{FF360420-1F37-4AB2-BED2-B42BC62AE4BB}"/>
            </a:ext>
          </a:extLst>
        </xdr:cNvPr>
        <xdr:cNvCxnSpPr/>
      </xdr:nvCxnSpPr>
      <xdr:spPr>
        <a:xfrm>
          <a:off x="3678644" y="65754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16</xdr:row>
      <xdr:rowOff>119064</xdr:rowOff>
    </xdr:from>
    <xdr:to>
      <xdr:col>10</xdr:col>
      <xdr:colOff>61509</xdr:colOff>
      <xdr:row>16</xdr:row>
      <xdr:rowOff>119064</xdr:rowOff>
    </xdr:to>
    <xdr:cxnSp macro="">
      <xdr:nvCxnSpPr>
        <xdr:cNvPr id="29" name="Connecteur droit avec flèche 28">
          <a:extLst>
            <a:ext uri="{FF2B5EF4-FFF2-40B4-BE49-F238E27FC236}">
              <a16:creationId xmlns:a16="http://schemas.microsoft.com/office/drawing/2014/main" id="{A4E00702-D4D6-497A-A532-70FF70A091F2}"/>
            </a:ext>
          </a:extLst>
        </xdr:cNvPr>
        <xdr:cNvCxnSpPr/>
      </xdr:nvCxnSpPr>
      <xdr:spPr>
        <a:xfrm>
          <a:off x="3686582" y="676751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17</xdr:row>
      <xdr:rowOff>119064</xdr:rowOff>
    </xdr:from>
    <xdr:to>
      <xdr:col>10</xdr:col>
      <xdr:colOff>61509</xdr:colOff>
      <xdr:row>17</xdr:row>
      <xdr:rowOff>119064</xdr:rowOff>
    </xdr:to>
    <xdr:cxnSp macro="">
      <xdr:nvCxnSpPr>
        <xdr:cNvPr id="30" name="Connecteur droit avec flèche 29">
          <a:extLst>
            <a:ext uri="{FF2B5EF4-FFF2-40B4-BE49-F238E27FC236}">
              <a16:creationId xmlns:a16="http://schemas.microsoft.com/office/drawing/2014/main" id="{6823D9E2-B3A1-449F-A47E-43FF7E9FCCAE}"/>
            </a:ext>
          </a:extLst>
        </xdr:cNvPr>
        <xdr:cNvCxnSpPr/>
      </xdr:nvCxnSpPr>
      <xdr:spPr>
        <a:xfrm>
          <a:off x="3686582" y="695166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18</xdr:row>
      <xdr:rowOff>119064</xdr:rowOff>
    </xdr:from>
    <xdr:to>
      <xdr:col>10</xdr:col>
      <xdr:colOff>61509</xdr:colOff>
      <xdr:row>18</xdr:row>
      <xdr:rowOff>119064</xdr:rowOff>
    </xdr:to>
    <xdr:cxnSp macro="">
      <xdr:nvCxnSpPr>
        <xdr:cNvPr id="31" name="Connecteur droit avec flèche 30">
          <a:extLst>
            <a:ext uri="{FF2B5EF4-FFF2-40B4-BE49-F238E27FC236}">
              <a16:creationId xmlns:a16="http://schemas.microsoft.com/office/drawing/2014/main" id="{D25B5030-4706-471D-979D-D861C9852211}"/>
            </a:ext>
          </a:extLst>
        </xdr:cNvPr>
        <xdr:cNvCxnSpPr/>
      </xdr:nvCxnSpPr>
      <xdr:spPr>
        <a:xfrm>
          <a:off x="3686582" y="713581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16</xdr:row>
      <xdr:rowOff>119064</xdr:rowOff>
    </xdr:from>
    <xdr:to>
      <xdr:col>10</xdr:col>
      <xdr:colOff>61509</xdr:colOff>
      <xdr:row>16</xdr:row>
      <xdr:rowOff>119064</xdr:rowOff>
    </xdr:to>
    <xdr:cxnSp macro="">
      <xdr:nvCxnSpPr>
        <xdr:cNvPr id="41" name="Connecteur droit avec flèche 40">
          <a:extLst>
            <a:ext uri="{FF2B5EF4-FFF2-40B4-BE49-F238E27FC236}">
              <a16:creationId xmlns:a16="http://schemas.microsoft.com/office/drawing/2014/main" id="{BD4BA693-16CB-4BBF-9B92-8E78D685FD1D}"/>
            </a:ext>
          </a:extLst>
        </xdr:cNvPr>
        <xdr:cNvCxnSpPr/>
      </xdr:nvCxnSpPr>
      <xdr:spPr>
        <a:xfrm>
          <a:off x="11598682" y="1651002"/>
          <a:ext cx="758015"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17</xdr:row>
      <xdr:rowOff>119064</xdr:rowOff>
    </xdr:from>
    <xdr:to>
      <xdr:col>10</xdr:col>
      <xdr:colOff>61509</xdr:colOff>
      <xdr:row>17</xdr:row>
      <xdr:rowOff>119064</xdr:rowOff>
    </xdr:to>
    <xdr:cxnSp macro="">
      <xdr:nvCxnSpPr>
        <xdr:cNvPr id="42" name="Connecteur droit avec flèche 41">
          <a:extLst>
            <a:ext uri="{FF2B5EF4-FFF2-40B4-BE49-F238E27FC236}">
              <a16:creationId xmlns:a16="http://schemas.microsoft.com/office/drawing/2014/main" id="{37AE7989-AC94-4BEA-8A68-81E90619B646}"/>
            </a:ext>
          </a:extLst>
        </xdr:cNvPr>
        <xdr:cNvCxnSpPr/>
      </xdr:nvCxnSpPr>
      <xdr:spPr>
        <a:xfrm>
          <a:off x="11598682" y="1651002"/>
          <a:ext cx="758015"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18</xdr:row>
      <xdr:rowOff>119064</xdr:rowOff>
    </xdr:from>
    <xdr:to>
      <xdr:col>10</xdr:col>
      <xdr:colOff>61509</xdr:colOff>
      <xdr:row>18</xdr:row>
      <xdr:rowOff>119064</xdr:rowOff>
    </xdr:to>
    <xdr:cxnSp macro="">
      <xdr:nvCxnSpPr>
        <xdr:cNvPr id="43" name="Connecteur droit avec flèche 42">
          <a:extLst>
            <a:ext uri="{FF2B5EF4-FFF2-40B4-BE49-F238E27FC236}">
              <a16:creationId xmlns:a16="http://schemas.microsoft.com/office/drawing/2014/main" id="{4CEC953A-EEB6-4F9B-9DDF-7B164779800D}"/>
            </a:ext>
          </a:extLst>
        </xdr:cNvPr>
        <xdr:cNvCxnSpPr/>
      </xdr:nvCxnSpPr>
      <xdr:spPr>
        <a:xfrm>
          <a:off x="11598682" y="1651002"/>
          <a:ext cx="758015"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24</xdr:row>
      <xdr:rowOff>119064</xdr:rowOff>
    </xdr:from>
    <xdr:to>
      <xdr:col>10</xdr:col>
      <xdr:colOff>61509</xdr:colOff>
      <xdr:row>24</xdr:row>
      <xdr:rowOff>119064</xdr:rowOff>
    </xdr:to>
    <xdr:cxnSp macro="">
      <xdr:nvCxnSpPr>
        <xdr:cNvPr id="44" name="Connecteur droit avec flèche 43">
          <a:extLst>
            <a:ext uri="{FF2B5EF4-FFF2-40B4-BE49-F238E27FC236}">
              <a16:creationId xmlns:a16="http://schemas.microsoft.com/office/drawing/2014/main" id="{1B2CB496-0062-4DAE-B09D-18FB6E6FD8EC}"/>
            </a:ext>
          </a:extLst>
        </xdr:cNvPr>
        <xdr:cNvCxnSpPr/>
      </xdr:nvCxnSpPr>
      <xdr:spPr>
        <a:xfrm>
          <a:off x="11947932" y="14870114"/>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25</xdr:row>
      <xdr:rowOff>111126</xdr:rowOff>
    </xdr:from>
    <xdr:to>
      <xdr:col>10</xdr:col>
      <xdr:colOff>53571</xdr:colOff>
      <xdr:row>25</xdr:row>
      <xdr:rowOff>111126</xdr:rowOff>
    </xdr:to>
    <xdr:cxnSp macro="">
      <xdr:nvCxnSpPr>
        <xdr:cNvPr id="45" name="Connecteur droit avec flèche 44">
          <a:extLst>
            <a:ext uri="{FF2B5EF4-FFF2-40B4-BE49-F238E27FC236}">
              <a16:creationId xmlns:a16="http://schemas.microsoft.com/office/drawing/2014/main" id="{FE1569BC-E65A-43B1-BA85-74C2220F35A7}"/>
            </a:ext>
          </a:extLst>
        </xdr:cNvPr>
        <xdr:cNvCxnSpPr/>
      </xdr:nvCxnSpPr>
      <xdr:spPr>
        <a:xfrm>
          <a:off x="11939994" y="15046326"/>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26</xdr:row>
      <xdr:rowOff>111127</xdr:rowOff>
    </xdr:from>
    <xdr:to>
      <xdr:col>10</xdr:col>
      <xdr:colOff>53571</xdr:colOff>
      <xdr:row>26</xdr:row>
      <xdr:rowOff>111127</xdr:rowOff>
    </xdr:to>
    <xdr:cxnSp macro="">
      <xdr:nvCxnSpPr>
        <xdr:cNvPr id="46" name="Connecteur droit avec flèche 45">
          <a:extLst>
            <a:ext uri="{FF2B5EF4-FFF2-40B4-BE49-F238E27FC236}">
              <a16:creationId xmlns:a16="http://schemas.microsoft.com/office/drawing/2014/main" id="{18833F49-D9AF-4014-B962-D07D77359664}"/>
            </a:ext>
          </a:extLst>
        </xdr:cNvPr>
        <xdr:cNvCxnSpPr/>
      </xdr:nvCxnSpPr>
      <xdr:spPr>
        <a:xfrm>
          <a:off x="11939994" y="1523047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25</xdr:row>
      <xdr:rowOff>111127</xdr:rowOff>
    </xdr:from>
    <xdr:to>
      <xdr:col>10</xdr:col>
      <xdr:colOff>53571</xdr:colOff>
      <xdr:row>25</xdr:row>
      <xdr:rowOff>111127</xdr:rowOff>
    </xdr:to>
    <xdr:cxnSp macro="">
      <xdr:nvCxnSpPr>
        <xdr:cNvPr id="47" name="Connecteur droit avec flèche 46">
          <a:extLst>
            <a:ext uri="{FF2B5EF4-FFF2-40B4-BE49-F238E27FC236}">
              <a16:creationId xmlns:a16="http://schemas.microsoft.com/office/drawing/2014/main" id="{6B853330-2F6D-498F-BDEA-BE3A8D710B22}"/>
            </a:ext>
          </a:extLst>
        </xdr:cNvPr>
        <xdr:cNvCxnSpPr/>
      </xdr:nvCxnSpPr>
      <xdr:spPr>
        <a:xfrm>
          <a:off x="11939994" y="1504632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27</xdr:row>
      <xdr:rowOff>111127</xdr:rowOff>
    </xdr:from>
    <xdr:to>
      <xdr:col>10</xdr:col>
      <xdr:colOff>53571</xdr:colOff>
      <xdr:row>27</xdr:row>
      <xdr:rowOff>111127</xdr:rowOff>
    </xdr:to>
    <xdr:cxnSp macro="">
      <xdr:nvCxnSpPr>
        <xdr:cNvPr id="48" name="Connecteur droit avec flèche 47">
          <a:extLst>
            <a:ext uri="{FF2B5EF4-FFF2-40B4-BE49-F238E27FC236}">
              <a16:creationId xmlns:a16="http://schemas.microsoft.com/office/drawing/2014/main" id="{E32945C9-808F-4E1F-95F9-C2C2C0F9D1B4}"/>
            </a:ext>
          </a:extLst>
        </xdr:cNvPr>
        <xdr:cNvCxnSpPr/>
      </xdr:nvCxnSpPr>
      <xdr:spPr>
        <a:xfrm>
          <a:off x="11939994" y="1541462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28</xdr:row>
      <xdr:rowOff>111127</xdr:rowOff>
    </xdr:from>
    <xdr:to>
      <xdr:col>10</xdr:col>
      <xdr:colOff>53571</xdr:colOff>
      <xdr:row>28</xdr:row>
      <xdr:rowOff>111127</xdr:rowOff>
    </xdr:to>
    <xdr:cxnSp macro="">
      <xdr:nvCxnSpPr>
        <xdr:cNvPr id="49" name="Connecteur droit avec flèche 48">
          <a:extLst>
            <a:ext uri="{FF2B5EF4-FFF2-40B4-BE49-F238E27FC236}">
              <a16:creationId xmlns:a16="http://schemas.microsoft.com/office/drawing/2014/main" id="{3C00EF8F-1DDC-447D-AD14-A8001220FDF6}"/>
            </a:ext>
          </a:extLst>
        </xdr:cNvPr>
        <xdr:cNvCxnSpPr/>
      </xdr:nvCxnSpPr>
      <xdr:spPr>
        <a:xfrm>
          <a:off x="11939994" y="1559877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29</xdr:row>
      <xdr:rowOff>111127</xdr:rowOff>
    </xdr:from>
    <xdr:to>
      <xdr:col>10</xdr:col>
      <xdr:colOff>53571</xdr:colOff>
      <xdr:row>29</xdr:row>
      <xdr:rowOff>111127</xdr:rowOff>
    </xdr:to>
    <xdr:cxnSp macro="">
      <xdr:nvCxnSpPr>
        <xdr:cNvPr id="50" name="Connecteur droit avec flèche 49">
          <a:extLst>
            <a:ext uri="{FF2B5EF4-FFF2-40B4-BE49-F238E27FC236}">
              <a16:creationId xmlns:a16="http://schemas.microsoft.com/office/drawing/2014/main" id="{438C7ADB-8374-40D0-8015-FC2C8E373C7D}"/>
            </a:ext>
          </a:extLst>
        </xdr:cNvPr>
        <xdr:cNvCxnSpPr/>
      </xdr:nvCxnSpPr>
      <xdr:spPr>
        <a:xfrm>
          <a:off x="11939994" y="1578292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37</xdr:row>
      <xdr:rowOff>119064</xdr:rowOff>
    </xdr:from>
    <xdr:to>
      <xdr:col>10</xdr:col>
      <xdr:colOff>61509</xdr:colOff>
      <xdr:row>37</xdr:row>
      <xdr:rowOff>119064</xdr:rowOff>
    </xdr:to>
    <xdr:cxnSp macro="">
      <xdr:nvCxnSpPr>
        <xdr:cNvPr id="51" name="Connecteur droit avec flèche 50">
          <a:extLst>
            <a:ext uri="{FF2B5EF4-FFF2-40B4-BE49-F238E27FC236}">
              <a16:creationId xmlns:a16="http://schemas.microsoft.com/office/drawing/2014/main" id="{7983FD2A-F5C9-4D89-906D-3286B2C84AFE}"/>
            </a:ext>
          </a:extLst>
        </xdr:cNvPr>
        <xdr:cNvCxnSpPr/>
      </xdr:nvCxnSpPr>
      <xdr:spPr>
        <a:xfrm>
          <a:off x="11947932" y="17264064"/>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30</xdr:row>
      <xdr:rowOff>111127</xdr:rowOff>
    </xdr:from>
    <xdr:to>
      <xdr:col>10</xdr:col>
      <xdr:colOff>53571</xdr:colOff>
      <xdr:row>30</xdr:row>
      <xdr:rowOff>111127</xdr:rowOff>
    </xdr:to>
    <xdr:cxnSp macro="">
      <xdr:nvCxnSpPr>
        <xdr:cNvPr id="52" name="Connecteur droit avec flèche 51">
          <a:extLst>
            <a:ext uri="{FF2B5EF4-FFF2-40B4-BE49-F238E27FC236}">
              <a16:creationId xmlns:a16="http://schemas.microsoft.com/office/drawing/2014/main" id="{F0EEECB3-9775-4021-A8B3-B3FEF0013EA7}"/>
            </a:ext>
          </a:extLst>
        </xdr:cNvPr>
        <xdr:cNvCxnSpPr/>
      </xdr:nvCxnSpPr>
      <xdr:spPr>
        <a:xfrm>
          <a:off x="11939994" y="1596707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31</xdr:row>
      <xdr:rowOff>111127</xdr:rowOff>
    </xdr:from>
    <xdr:to>
      <xdr:col>10</xdr:col>
      <xdr:colOff>53571</xdr:colOff>
      <xdr:row>31</xdr:row>
      <xdr:rowOff>111127</xdr:rowOff>
    </xdr:to>
    <xdr:cxnSp macro="">
      <xdr:nvCxnSpPr>
        <xdr:cNvPr id="53" name="Connecteur droit avec flèche 52">
          <a:extLst>
            <a:ext uri="{FF2B5EF4-FFF2-40B4-BE49-F238E27FC236}">
              <a16:creationId xmlns:a16="http://schemas.microsoft.com/office/drawing/2014/main" id="{2A5B62DC-D758-4DE7-A7B0-94BAAF2BCC81}"/>
            </a:ext>
          </a:extLst>
        </xdr:cNvPr>
        <xdr:cNvCxnSpPr/>
      </xdr:nvCxnSpPr>
      <xdr:spPr>
        <a:xfrm>
          <a:off x="11939994" y="1615122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32</xdr:row>
      <xdr:rowOff>111127</xdr:rowOff>
    </xdr:from>
    <xdr:to>
      <xdr:col>10</xdr:col>
      <xdr:colOff>53571</xdr:colOff>
      <xdr:row>32</xdr:row>
      <xdr:rowOff>111127</xdr:rowOff>
    </xdr:to>
    <xdr:cxnSp macro="">
      <xdr:nvCxnSpPr>
        <xdr:cNvPr id="54" name="Connecteur droit avec flèche 53">
          <a:extLst>
            <a:ext uri="{FF2B5EF4-FFF2-40B4-BE49-F238E27FC236}">
              <a16:creationId xmlns:a16="http://schemas.microsoft.com/office/drawing/2014/main" id="{29EBE7B8-B67B-4278-950F-752B4435E914}"/>
            </a:ext>
          </a:extLst>
        </xdr:cNvPr>
        <xdr:cNvCxnSpPr/>
      </xdr:nvCxnSpPr>
      <xdr:spPr>
        <a:xfrm>
          <a:off x="11939994" y="1633537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65494</xdr:colOff>
      <xdr:row>33</xdr:row>
      <xdr:rowOff>111127</xdr:rowOff>
    </xdr:from>
    <xdr:to>
      <xdr:col>10</xdr:col>
      <xdr:colOff>53571</xdr:colOff>
      <xdr:row>33</xdr:row>
      <xdr:rowOff>111127</xdr:rowOff>
    </xdr:to>
    <xdr:cxnSp macro="">
      <xdr:nvCxnSpPr>
        <xdr:cNvPr id="55" name="Connecteur droit avec flèche 54">
          <a:extLst>
            <a:ext uri="{FF2B5EF4-FFF2-40B4-BE49-F238E27FC236}">
              <a16:creationId xmlns:a16="http://schemas.microsoft.com/office/drawing/2014/main" id="{510AF3AC-304B-49E6-BBD4-59F13EDEDD63}"/>
            </a:ext>
          </a:extLst>
        </xdr:cNvPr>
        <xdr:cNvCxnSpPr/>
      </xdr:nvCxnSpPr>
      <xdr:spPr>
        <a:xfrm>
          <a:off x="11939994" y="16519527"/>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34</xdr:row>
      <xdr:rowOff>119064</xdr:rowOff>
    </xdr:from>
    <xdr:to>
      <xdr:col>10</xdr:col>
      <xdr:colOff>61509</xdr:colOff>
      <xdr:row>34</xdr:row>
      <xdr:rowOff>119064</xdr:rowOff>
    </xdr:to>
    <xdr:cxnSp macro="">
      <xdr:nvCxnSpPr>
        <xdr:cNvPr id="56" name="Connecteur droit avec flèche 55">
          <a:extLst>
            <a:ext uri="{FF2B5EF4-FFF2-40B4-BE49-F238E27FC236}">
              <a16:creationId xmlns:a16="http://schemas.microsoft.com/office/drawing/2014/main" id="{DB1DE25B-7F8D-47BA-9672-8AF64216F780}"/>
            </a:ext>
          </a:extLst>
        </xdr:cNvPr>
        <xdr:cNvCxnSpPr/>
      </xdr:nvCxnSpPr>
      <xdr:spPr>
        <a:xfrm>
          <a:off x="11947932" y="16711614"/>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35</xdr:row>
      <xdr:rowOff>119064</xdr:rowOff>
    </xdr:from>
    <xdr:to>
      <xdr:col>10</xdr:col>
      <xdr:colOff>61509</xdr:colOff>
      <xdr:row>35</xdr:row>
      <xdr:rowOff>119064</xdr:rowOff>
    </xdr:to>
    <xdr:cxnSp macro="">
      <xdr:nvCxnSpPr>
        <xdr:cNvPr id="57" name="Connecteur droit avec flèche 56">
          <a:extLst>
            <a:ext uri="{FF2B5EF4-FFF2-40B4-BE49-F238E27FC236}">
              <a16:creationId xmlns:a16="http://schemas.microsoft.com/office/drawing/2014/main" id="{94B2B460-B1D0-4BF0-9A56-5095F1638AAD}"/>
            </a:ext>
          </a:extLst>
        </xdr:cNvPr>
        <xdr:cNvCxnSpPr/>
      </xdr:nvCxnSpPr>
      <xdr:spPr>
        <a:xfrm>
          <a:off x="11947932" y="16895764"/>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36</xdr:row>
      <xdr:rowOff>119064</xdr:rowOff>
    </xdr:from>
    <xdr:to>
      <xdr:col>10</xdr:col>
      <xdr:colOff>61509</xdr:colOff>
      <xdr:row>36</xdr:row>
      <xdr:rowOff>119064</xdr:rowOff>
    </xdr:to>
    <xdr:cxnSp macro="">
      <xdr:nvCxnSpPr>
        <xdr:cNvPr id="58" name="Connecteur droit avec flèche 57">
          <a:extLst>
            <a:ext uri="{FF2B5EF4-FFF2-40B4-BE49-F238E27FC236}">
              <a16:creationId xmlns:a16="http://schemas.microsoft.com/office/drawing/2014/main" id="{2099DAC4-79BD-43A2-86B0-58534C317061}"/>
            </a:ext>
          </a:extLst>
        </xdr:cNvPr>
        <xdr:cNvCxnSpPr/>
      </xdr:nvCxnSpPr>
      <xdr:spPr>
        <a:xfrm>
          <a:off x="11947932" y="17079914"/>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34</xdr:row>
      <xdr:rowOff>119064</xdr:rowOff>
    </xdr:from>
    <xdr:to>
      <xdr:col>10</xdr:col>
      <xdr:colOff>61509</xdr:colOff>
      <xdr:row>34</xdr:row>
      <xdr:rowOff>119064</xdr:rowOff>
    </xdr:to>
    <xdr:cxnSp macro="">
      <xdr:nvCxnSpPr>
        <xdr:cNvPr id="68" name="Connecteur droit avec flèche 67">
          <a:extLst>
            <a:ext uri="{FF2B5EF4-FFF2-40B4-BE49-F238E27FC236}">
              <a16:creationId xmlns:a16="http://schemas.microsoft.com/office/drawing/2014/main" id="{571738B5-5217-4752-84BB-67504A8C4739}"/>
            </a:ext>
          </a:extLst>
        </xdr:cNvPr>
        <xdr:cNvCxnSpPr/>
      </xdr:nvCxnSpPr>
      <xdr:spPr>
        <a:xfrm>
          <a:off x="11947932" y="16711614"/>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35</xdr:row>
      <xdr:rowOff>119064</xdr:rowOff>
    </xdr:from>
    <xdr:to>
      <xdr:col>10</xdr:col>
      <xdr:colOff>61509</xdr:colOff>
      <xdr:row>35</xdr:row>
      <xdr:rowOff>119064</xdr:rowOff>
    </xdr:to>
    <xdr:cxnSp macro="">
      <xdr:nvCxnSpPr>
        <xdr:cNvPr id="69" name="Connecteur droit avec flèche 68">
          <a:extLst>
            <a:ext uri="{FF2B5EF4-FFF2-40B4-BE49-F238E27FC236}">
              <a16:creationId xmlns:a16="http://schemas.microsoft.com/office/drawing/2014/main" id="{893A8EEA-FB25-4DAF-85AD-97563137E9BD}"/>
            </a:ext>
          </a:extLst>
        </xdr:cNvPr>
        <xdr:cNvCxnSpPr/>
      </xdr:nvCxnSpPr>
      <xdr:spPr>
        <a:xfrm>
          <a:off x="11947932" y="16895764"/>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36</xdr:row>
      <xdr:rowOff>119064</xdr:rowOff>
    </xdr:from>
    <xdr:to>
      <xdr:col>10</xdr:col>
      <xdr:colOff>61509</xdr:colOff>
      <xdr:row>36</xdr:row>
      <xdr:rowOff>119064</xdr:rowOff>
    </xdr:to>
    <xdr:cxnSp macro="">
      <xdr:nvCxnSpPr>
        <xdr:cNvPr id="70" name="Connecteur droit avec flèche 69">
          <a:extLst>
            <a:ext uri="{FF2B5EF4-FFF2-40B4-BE49-F238E27FC236}">
              <a16:creationId xmlns:a16="http://schemas.microsoft.com/office/drawing/2014/main" id="{D49644DD-A5CE-4BCB-AEF8-97DB8D220C03}"/>
            </a:ext>
          </a:extLst>
        </xdr:cNvPr>
        <xdr:cNvCxnSpPr/>
      </xdr:nvCxnSpPr>
      <xdr:spPr>
        <a:xfrm>
          <a:off x="11947932" y="17079914"/>
          <a:ext cx="750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34</xdr:row>
      <xdr:rowOff>119064</xdr:rowOff>
    </xdr:from>
    <xdr:to>
      <xdr:col>10</xdr:col>
      <xdr:colOff>61509</xdr:colOff>
      <xdr:row>34</xdr:row>
      <xdr:rowOff>119064</xdr:rowOff>
    </xdr:to>
    <xdr:cxnSp macro="">
      <xdr:nvCxnSpPr>
        <xdr:cNvPr id="80" name="Connecteur droit avec flèche 79">
          <a:extLst>
            <a:ext uri="{FF2B5EF4-FFF2-40B4-BE49-F238E27FC236}">
              <a16:creationId xmlns:a16="http://schemas.microsoft.com/office/drawing/2014/main" id="{C4954C6A-708C-436C-8D1F-9D2AAA18FEE1}"/>
            </a:ext>
          </a:extLst>
        </xdr:cNvPr>
        <xdr:cNvCxnSpPr/>
      </xdr:nvCxnSpPr>
      <xdr:spPr>
        <a:xfrm>
          <a:off x="11585075" y="4536850"/>
          <a:ext cx="759148"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35</xdr:row>
      <xdr:rowOff>119064</xdr:rowOff>
    </xdr:from>
    <xdr:to>
      <xdr:col>10</xdr:col>
      <xdr:colOff>61509</xdr:colOff>
      <xdr:row>35</xdr:row>
      <xdr:rowOff>119064</xdr:rowOff>
    </xdr:to>
    <xdr:cxnSp macro="">
      <xdr:nvCxnSpPr>
        <xdr:cNvPr id="81" name="Connecteur droit avec flèche 80">
          <a:extLst>
            <a:ext uri="{FF2B5EF4-FFF2-40B4-BE49-F238E27FC236}">
              <a16:creationId xmlns:a16="http://schemas.microsoft.com/office/drawing/2014/main" id="{9DD84E0E-B58F-461C-AF39-717A3CE35DED}"/>
            </a:ext>
          </a:extLst>
        </xdr:cNvPr>
        <xdr:cNvCxnSpPr/>
      </xdr:nvCxnSpPr>
      <xdr:spPr>
        <a:xfrm>
          <a:off x="11585075" y="4536850"/>
          <a:ext cx="759148"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73432</xdr:colOff>
      <xdr:row>36</xdr:row>
      <xdr:rowOff>119064</xdr:rowOff>
    </xdr:from>
    <xdr:to>
      <xdr:col>10</xdr:col>
      <xdr:colOff>61509</xdr:colOff>
      <xdr:row>36</xdr:row>
      <xdr:rowOff>119064</xdr:rowOff>
    </xdr:to>
    <xdr:cxnSp macro="">
      <xdr:nvCxnSpPr>
        <xdr:cNvPr id="82" name="Connecteur droit avec flèche 81">
          <a:extLst>
            <a:ext uri="{FF2B5EF4-FFF2-40B4-BE49-F238E27FC236}">
              <a16:creationId xmlns:a16="http://schemas.microsoft.com/office/drawing/2014/main" id="{3D40FD9B-2423-48A7-BF64-DB27976033A6}"/>
            </a:ext>
          </a:extLst>
        </xdr:cNvPr>
        <xdr:cNvCxnSpPr/>
      </xdr:nvCxnSpPr>
      <xdr:spPr>
        <a:xfrm>
          <a:off x="11585075" y="4536850"/>
          <a:ext cx="759148"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615755</xdr:colOff>
      <xdr:row>6</xdr:row>
      <xdr:rowOff>38485</xdr:rowOff>
    </xdr:from>
    <xdr:to>
      <xdr:col>6</xdr:col>
      <xdr:colOff>817802</xdr:colOff>
      <xdr:row>19</xdr:row>
      <xdr:rowOff>115459</xdr:rowOff>
    </xdr:to>
    <xdr:sp macro="" textlink="">
      <xdr:nvSpPr>
        <xdr:cNvPr id="2" name="Triangle isocèle 1">
          <a:extLst>
            <a:ext uri="{FF2B5EF4-FFF2-40B4-BE49-F238E27FC236}">
              <a16:creationId xmlns:a16="http://schemas.microsoft.com/office/drawing/2014/main" id="{96DC8225-B299-5E7B-4A04-AD1ADC6EDDB3}"/>
            </a:ext>
          </a:extLst>
        </xdr:cNvPr>
        <xdr:cNvSpPr/>
      </xdr:nvSpPr>
      <xdr:spPr>
        <a:xfrm rot="5400000">
          <a:off x="6321133" y="2357198"/>
          <a:ext cx="2453414" cy="202047"/>
        </a:xfrm>
        <a:prstGeom prst="triangle">
          <a:avLst/>
        </a:prstGeom>
        <a:pattFill prst="pct75">
          <a:fgClr>
            <a:schemeClr val="accent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F" sz="1100"/>
        </a:p>
      </xdr:txBody>
    </xdr:sp>
    <xdr:clientData/>
  </xdr:twoCellAnchor>
  <xdr:twoCellAnchor>
    <xdr:from>
      <xdr:col>6</xdr:col>
      <xdr:colOff>615755</xdr:colOff>
      <xdr:row>23</xdr:row>
      <xdr:rowOff>162024</xdr:rowOff>
    </xdr:from>
    <xdr:to>
      <xdr:col>6</xdr:col>
      <xdr:colOff>817802</xdr:colOff>
      <xdr:row>37</xdr:row>
      <xdr:rowOff>56196</xdr:rowOff>
    </xdr:to>
    <xdr:sp macro="" textlink="">
      <xdr:nvSpPr>
        <xdr:cNvPr id="3" name="Triangle isocèle 2">
          <a:extLst>
            <a:ext uri="{FF2B5EF4-FFF2-40B4-BE49-F238E27FC236}">
              <a16:creationId xmlns:a16="http://schemas.microsoft.com/office/drawing/2014/main" id="{26B36B35-6CA8-5F58-AB27-662643B2173B}"/>
            </a:ext>
          </a:extLst>
        </xdr:cNvPr>
        <xdr:cNvSpPr/>
      </xdr:nvSpPr>
      <xdr:spPr>
        <a:xfrm rot="5400000">
          <a:off x="6321133" y="5549904"/>
          <a:ext cx="2453414" cy="202047"/>
        </a:xfrm>
        <a:prstGeom prst="triangle">
          <a:avLst/>
        </a:prstGeom>
        <a:pattFill prst="pct75">
          <a:fgClr>
            <a:schemeClr val="accent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F"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73432</xdr:colOff>
      <xdr:row>23</xdr:row>
      <xdr:rowOff>119064</xdr:rowOff>
    </xdr:from>
    <xdr:to>
      <xdr:col>4</xdr:col>
      <xdr:colOff>61509</xdr:colOff>
      <xdr:row>23</xdr:row>
      <xdr:rowOff>119064</xdr:rowOff>
    </xdr:to>
    <xdr:cxnSp macro="">
      <xdr:nvCxnSpPr>
        <xdr:cNvPr id="2" name="Connecteur droit avec flèche 1">
          <a:extLst>
            <a:ext uri="{FF2B5EF4-FFF2-40B4-BE49-F238E27FC236}">
              <a16:creationId xmlns:a16="http://schemas.microsoft.com/office/drawing/2014/main" id="{3224F2C7-6C30-41CE-A1FD-9D0CD9850E32}"/>
            </a:ext>
          </a:extLst>
        </xdr:cNvPr>
        <xdr:cNvCxnSpPr/>
      </xdr:nvCxnSpPr>
      <xdr:spPr>
        <a:xfrm>
          <a:off x="11592332" y="131921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24</xdr:row>
      <xdr:rowOff>111126</xdr:rowOff>
    </xdr:from>
    <xdr:to>
      <xdr:col>4</xdr:col>
      <xdr:colOff>53571</xdr:colOff>
      <xdr:row>24</xdr:row>
      <xdr:rowOff>111126</xdr:rowOff>
    </xdr:to>
    <xdr:cxnSp macro="">
      <xdr:nvCxnSpPr>
        <xdr:cNvPr id="3" name="Connecteur droit avec flèche 2">
          <a:extLst>
            <a:ext uri="{FF2B5EF4-FFF2-40B4-BE49-F238E27FC236}">
              <a16:creationId xmlns:a16="http://schemas.microsoft.com/office/drawing/2014/main" id="{8618CB5E-7DC0-47CE-9087-C9B8204AB79D}"/>
            </a:ext>
          </a:extLst>
        </xdr:cNvPr>
        <xdr:cNvCxnSpPr/>
      </xdr:nvCxnSpPr>
      <xdr:spPr>
        <a:xfrm>
          <a:off x="11584394" y="1495426"/>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25</xdr:row>
      <xdr:rowOff>111127</xdr:rowOff>
    </xdr:from>
    <xdr:to>
      <xdr:col>4</xdr:col>
      <xdr:colOff>53571</xdr:colOff>
      <xdr:row>25</xdr:row>
      <xdr:rowOff>111127</xdr:rowOff>
    </xdr:to>
    <xdr:cxnSp macro="">
      <xdr:nvCxnSpPr>
        <xdr:cNvPr id="4" name="Connecteur droit avec flèche 3">
          <a:extLst>
            <a:ext uri="{FF2B5EF4-FFF2-40B4-BE49-F238E27FC236}">
              <a16:creationId xmlns:a16="http://schemas.microsoft.com/office/drawing/2014/main" id="{86E1E8F6-905A-4A62-BCBA-C69707320034}"/>
            </a:ext>
          </a:extLst>
        </xdr:cNvPr>
        <xdr:cNvCxnSpPr/>
      </xdr:nvCxnSpPr>
      <xdr:spPr>
        <a:xfrm>
          <a:off x="11584394" y="167957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24</xdr:row>
      <xdr:rowOff>111127</xdr:rowOff>
    </xdr:from>
    <xdr:to>
      <xdr:col>4</xdr:col>
      <xdr:colOff>53571</xdr:colOff>
      <xdr:row>24</xdr:row>
      <xdr:rowOff>111127</xdr:rowOff>
    </xdr:to>
    <xdr:cxnSp macro="">
      <xdr:nvCxnSpPr>
        <xdr:cNvPr id="5" name="Connecteur droit avec flèche 4">
          <a:extLst>
            <a:ext uri="{FF2B5EF4-FFF2-40B4-BE49-F238E27FC236}">
              <a16:creationId xmlns:a16="http://schemas.microsoft.com/office/drawing/2014/main" id="{ABA18EDF-E2B2-41B2-AF91-A0911BF73F00}"/>
            </a:ext>
          </a:extLst>
        </xdr:cNvPr>
        <xdr:cNvCxnSpPr/>
      </xdr:nvCxnSpPr>
      <xdr:spPr>
        <a:xfrm>
          <a:off x="11584394" y="14954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26</xdr:row>
      <xdr:rowOff>111127</xdr:rowOff>
    </xdr:from>
    <xdr:to>
      <xdr:col>4</xdr:col>
      <xdr:colOff>53571</xdr:colOff>
      <xdr:row>26</xdr:row>
      <xdr:rowOff>111127</xdr:rowOff>
    </xdr:to>
    <xdr:cxnSp macro="">
      <xdr:nvCxnSpPr>
        <xdr:cNvPr id="6" name="Connecteur droit avec flèche 5">
          <a:extLst>
            <a:ext uri="{FF2B5EF4-FFF2-40B4-BE49-F238E27FC236}">
              <a16:creationId xmlns:a16="http://schemas.microsoft.com/office/drawing/2014/main" id="{5DA80807-3625-4BC3-A382-FAC9078001B1}"/>
            </a:ext>
          </a:extLst>
        </xdr:cNvPr>
        <xdr:cNvCxnSpPr/>
      </xdr:nvCxnSpPr>
      <xdr:spPr>
        <a:xfrm>
          <a:off x="11584394" y="18637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27</xdr:row>
      <xdr:rowOff>111127</xdr:rowOff>
    </xdr:from>
    <xdr:to>
      <xdr:col>4</xdr:col>
      <xdr:colOff>53571</xdr:colOff>
      <xdr:row>27</xdr:row>
      <xdr:rowOff>111127</xdr:rowOff>
    </xdr:to>
    <xdr:cxnSp macro="">
      <xdr:nvCxnSpPr>
        <xdr:cNvPr id="7" name="Connecteur droit avec flèche 6">
          <a:extLst>
            <a:ext uri="{FF2B5EF4-FFF2-40B4-BE49-F238E27FC236}">
              <a16:creationId xmlns:a16="http://schemas.microsoft.com/office/drawing/2014/main" id="{2843FF01-1063-4D87-B568-8F8D19938D9E}"/>
            </a:ext>
          </a:extLst>
        </xdr:cNvPr>
        <xdr:cNvCxnSpPr/>
      </xdr:nvCxnSpPr>
      <xdr:spPr>
        <a:xfrm>
          <a:off x="11584394" y="204787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28</xdr:row>
      <xdr:rowOff>111127</xdr:rowOff>
    </xdr:from>
    <xdr:to>
      <xdr:col>4</xdr:col>
      <xdr:colOff>53571</xdr:colOff>
      <xdr:row>28</xdr:row>
      <xdr:rowOff>111127</xdr:rowOff>
    </xdr:to>
    <xdr:cxnSp macro="">
      <xdr:nvCxnSpPr>
        <xdr:cNvPr id="8" name="Connecteur droit avec flèche 7">
          <a:extLst>
            <a:ext uri="{FF2B5EF4-FFF2-40B4-BE49-F238E27FC236}">
              <a16:creationId xmlns:a16="http://schemas.microsoft.com/office/drawing/2014/main" id="{17FD1FFA-AAAC-42E3-ADAC-0FCC714BDF29}"/>
            </a:ext>
          </a:extLst>
        </xdr:cNvPr>
        <xdr:cNvCxnSpPr/>
      </xdr:nvCxnSpPr>
      <xdr:spPr>
        <a:xfrm>
          <a:off x="11584394" y="22320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36</xdr:row>
      <xdr:rowOff>119064</xdr:rowOff>
    </xdr:from>
    <xdr:to>
      <xdr:col>4</xdr:col>
      <xdr:colOff>61509</xdr:colOff>
      <xdr:row>36</xdr:row>
      <xdr:rowOff>119064</xdr:rowOff>
    </xdr:to>
    <xdr:cxnSp macro="">
      <xdr:nvCxnSpPr>
        <xdr:cNvPr id="9" name="Connecteur droit avec flèche 8">
          <a:extLst>
            <a:ext uri="{FF2B5EF4-FFF2-40B4-BE49-F238E27FC236}">
              <a16:creationId xmlns:a16="http://schemas.microsoft.com/office/drawing/2014/main" id="{E6CA2629-CA80-48ED-8DA5-0001C26282FC}"/>
            </a:ext>
          </a:extLst>
        </xdr:cNvPr>
        <xdr:cNvCxnSpPr/>
      </xdr:nvCxnSpPr>
      <xdr:spPr>
        <a:xfrm>
          <a:off x="11592332" y="371316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29</xdr:row>
      <xdr:rowOff>111127</xdr:rowOff>
    </xdr:from>
    <xdr:to>
      <xdr:col>4</xdr:col>
      <xdr:colOff>53571</xdr:colOff>
      <xdr:row>29</xdr:row>
      <xdr:rowOff>111127</xdr:rowOff>
    </xdr:to>
    <xdr:cxnSp macro="">
      <xdr:nvCxnSpPr>
        <xdr:cNvPr id="10" name="Connecteur droit avec flèche 9">
          <a:extLst>
            <a:ext uri="{FF2B5EF4-FFF2-40B4-BE49-F238E27FC236}">
              <a16:creationId xmlns:a16="http://schemas.microsoft.com/office/drawing/2014/main" id="{29252474-5A07-4BE1-9FBF-BED9D4010F65}"/>
            </a:ext>
          </a:extLst>
        </xdr:cNvPr>
        <xdr:cNvCxnSpPr/>
      </xdr:nvCxnSpPr>
      <xdr:spPr>
        <a:xfrm>
          <a:off x="11584394" y="241617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30</xdr:row>
      <xdr:rowOff>111127</xdr:rowOff>
    </xdr:from>
    <xdr:to>
      <xdr:col>4</xdr:col>
      <xdr:colOff>53571</xdr:colOff>
      <xdr:row>30</xdr:row>
      <xdr:rowOff>111127</xdr:rowOff>
    </xdr:to>
    <xdr:cxnSp macro="">
      <xdr:nvCxnSpPr>
        <xdr:cNvPr id="11" name="Connecteur droit avec flèche 10">
          <a:extLst>
            <a:ext uri="{FF2B5EF4-FFF2-40B4-BE49-F238E27FC236}">
              <a16:creationId xmlns:a16="http://schemas.microsoft.com/office/drawing/2014/main" id="{AFB1F3CE-F7F4-4C88-A37E-A143C085260B}"/>
            </a:ext>
          </a:extLst>
        </xdr:cNvPr>
        <xdr:cNvCxnSpPr/>
      </xdr:nvCxnSpPr>
      <xdr:spPr>
        <a:xfrm>
          <a:off x="11584394" y="26003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31</xdr:row>
      <xdr:rowOff>111127</xdr:rowOff>
    </xdr:from>
    <xdr:to>
      <xdr:col>4</xdr:col>
      <xdr:colOff>53571</xdr:colOff>
      <xdr:row>31</xdr:row>
      <xdr:rowOff>111127</xdr:rowOff>
    </xdr:to>
    <xdr:cxnSp macro="">
      <xdr:nvCxnSpPr>
        <xdr:cNvPr id="12" name="Connecteur droit avec flèche 11">
          <a:extLst>
            <a:ext uri="{FF2B5EF4-FFF2-40B4-BE49-F238E27FC236}">
              <a16:creationId xmlns:a16="http://schemas.microsoft.com/office/drawing/2014/main" id="{5D834FE2-1BF8-4A92-B238-80FD6FF08144}"/>
            </a:ext>
          </a:extLst>
        </xdr:cNvPr>
        <xdr:cNvCxnSpPr/>
      </xdr:nvCxnSpPr>
      <xdr:spPr>
        <a:xfrm>
          <a:off x="11584394" y="278447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32</xdr:row>
      <xdr:rowOff>111127</xdr:rowOff>
    </xdr:from>
    <xdr:to>
      <xdr:col>4</xdr:col>
      <xdr:colOff>53571</xdr:colOff>
      <xdr:row>32</xdr:row>
      <xdr:rowOff>111127</xdr:rowOff>
    </xdr:to>
    <xdr:cxnSp macro="">
      <xdr:nvCxnSpPr>
        <xdr:cNvPr id="13" name="Connecteur droit avec flèche 12">
          <a:extLst>
            <a:ext uri="{FF2B5EF4-FFF2-40B4-BE49-F238E27FC236}">
              <a16:creationId xmlns:a16="http://schemas.microsoft.com/office/drawing/2014/main" id="{F246A62D-0A24-41AF-855C-B03AC0F0267E}"/>
            </a:ext>
          </a:extLst>
        </xdr:cNvPr>
        <xdr:cNvCxnSpPr/>
      </xdr:nvCxnSpPr>
      <xdr:spPr>
        <a:xfrm>
          <a:off x="11584394" y="2968627"/>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33</xdr:row>
      <xdr:rowOff>119064</xdr:rowOff>
    </xdr:from>
    <xdr:to>
      <xdr:col>4</xdr:col>
      <xdr:colOff>61509</xdr:colOff>
      <xdr:row>33</xdr:row>
      <xdr:rowOff>119064</xdr:rowOff>
    </xdr:to>
    <xdr:cxnSp macro="">
      <xdr:nvCxnSpPr>
        <xdr:cNvPr id="14" name="Connecteur droit avec flèche 13">
          <a:extLst>
            <a:ext uri="{FF2B5EF4-FFF2-40B4-BE49-F238E27FC236}">
              <a16:creationId xmlns:a16="http://schemas.microsoft.com/office/drawing/2014/main" id="{A44BED06-4D3D-4692-9B93-B48A8A877EAD}"/>
            </a:ext>
          </a:extLst>
        </xdr:cNvPr>
        <xdr:cNvCxnSpPr/>
      </xdr:nvCxnSpPr>
      <xdr:spPr>
        <a:xfrm>
          <a:off x="11592332" y="316071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34</xdr:row>
      <xdr:rowOff>119064</xdr:rowOff>
    </xdr:from>
    <xdr:to>
      <xdr:col>4</xdr:col>
      <xdr:colOff>61509</xdr:colOff>
      <xdr:row>34</xdr:row>
      <xdr:rowOff>119064</xdr:rowOff>
    </xdr:to>
    <xdr:cxnSp macro="">
      <xdr:nvCxnSpPr>
        <xdr:cNvPr id="15" name="Connecteur droit avec flèche 14">
          <a:extLst>
            <a:ext uri="{FF2B5EF4-FFF2-40B4-BE49-F238E27FC236}">
              <a16:creationId xmlns:a16="http://schemas.microsoft.com/office/drawing/2014/main" id="{B9E81B0D-B7AB-4D2D-8654-FAFA879379A6}"/>
            </a:ext>
          </a:extLst>
        </xdr:cNvPr>
        <xdr:cNvCxnSpPr/>
      </xdr:nvCxnSpPr>
      <xdr:spPr>
        <a:xfrm>
          <a:off x="11592332" y="334486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35</xdr:row>
      <xdr:rowOff>119064</xdr:rowOff>
    </xdr:from>
    <xdr:to>
      <xdr:col>4</xdr:col>
      <xdr:colOff>61509</xdr:colOff>
      <xdr:row>35</xdr:row>
      <xdr:rowOff>119064</xdr:rowOff>
    </xdr:to>
    <xdr:cxnSp macro="">
      <xdr:nvCxnSpPr>
        <xdr:cNvPr id="16" name="Connecteur droit avec flèche 15">
          <a:extLst>
            <a:ext uri="{FF2B5EF4-FFF2-40B4-BE49-F238E27FC236}">
              <a16:creationId xmlns:a16="http://schemas.microsoft.com/office/drawing/2014/main" id="{5DA1CB78-C10E-40DE-B01E-D9A8325B56ED}"/>
            </a:ext>
          </a:extLst>
        </xdr:cNvPr>
        <xdr:cNvCxnSpPr/>
      </xdr:nvCxnSpPr>
      <xdr:spPr>
        <a:xfrm>
          <a:off x="11592332" y="352901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33</xdr:row>
      <xdr:rowOff>119064</xdr:rowOff>
    </xdr:from>
    <xdr:to>
      <xdr:col>4</xdr:col>
      <xdr:colOff>61509</xdr:colOff>
      <xdr:row>33</xdr:row>
      <xdr:rowOff>119064</xdr:rowOff>
    </xdr:to>
    <xdr:cxnSp macro="">
      <xdr:nvCxnSpPr>
        <xdr:cNvPr id="26" name="Connecteur droit avec flèche 25">
          <a:extLst>
            <a:ext uri="{FF2B5EF4-FFF2-40B4-BE49-F238E27FC236}">
              <a16:creationId xmlns:a16="http://schemas.microsoft.com/office/drawing/2014/main" id="{F3630759-78EA-4A87-8302-C8111ACB991C}"/>
            </a:ext>
          </a:extLst>
        </xdr:cNvPr>
        <xdr:cNvCxnSpPr/>
      </xdr:nvCxnSpPr>
      <xdr:spPr>
        <a:xfrm>
          <a:off x="11592332" y="316071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34</xdr:row>
      <xdr:rowOff>119064</xdr:rowOff>
    </xdr:from>
    <xdr:to>
      <xdr:col>4</xdr:col>
      <xdr:colOff>61509</xdr:colOff>
      <xdr:row>34</xdr:row>
      <xdr:rowOff>119064</xdr:rowOff>
    </xdr:to>
    <xdr:cxnSp macro="">
      <xdr:nvCxnSpPr>
        <xdr:cNvPr id="27" name="Connecteur droit avec flèche 26">
          <a:extLst>
            <a:ext uri="{FF2B5EF4-FFF2-40B4-BE49-F238E27FC236}">
              <a16:creationId xmlns:a16="http://schemas.microsoft.com/office/drawing/2014/main" id="{ECAE2C22-B5F4-4D10-BF33-4570A666CD3C}"/>
            </a:ext>
          </a:extLst>
        </xdr:cNvPr>
        <xdr:cNvCxnSpPr/>
      </xdr:nvCxnSpPr>
      <xdr:spPr>
        <a:xfrm>
          <a:off x="11592332" y="334486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35</xdr:row>
      <xdr:rowOff>119064</xdr:rowOff>
    </xdr:from>
    <xdr:to>
      <xdr:col>4</xdr:col>
      <xdr:colOff>61509</xdr:colOff>
      <xdr:row>35</xdr:row>
      <xdr:rowOff>119064</xdr:rowOff>
    </xdr:to>
    <xdr:cxnSp macro="">
      <xdr:nvCxnSpPr>
        <xdr:cNvPr id="28" name="Connecteur droit avec flèche 27">
          <a:extLst>
            <a:ext uri="{FF2B5EF4-FFF2-40B4-BE49-F238E27FC236}">
              <a16:creationId xmlns:a16="http://schemas.microsoft.com/office/drawing/2014/main" id="{2A52525F-05D1-4B64-AF66-4F92C8E8DFAF}"/>
            </a:ext>
          </a:extLst>
        </xdr:cNvPr>
        <xdr:cNvCxnSpPr/>
      </xdr:nvCxnSpPr>
      <xdr:spPr>
        <a:xfrm>
          <a:off x="11592332" y="3529014"/>
          <a:ext cx="75642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33</xdr:row>
      <xdr:rowOff>119064</xdr:rowOff>
    </xdr:from>
    <xdr:to>
      <xdr:col>4</xdr:col>
      <xdr:colOff>61509</xdr:colOff>
      <xdr:row>33</xdr:row>
      <xdr:rowOff>119064</xdr:rowOff>
    </xdr:to>
    <xdr:cxnSp macro="">
      <xdr:nvCxnSpPr>
        <xdr:cNvPr id="51" name="Connecteur droit avec flèche 50">
          <a:extLst>
            <a:ext uri="{FF2B5EF4-FFF2-40B4-BE49-F238E27FC236}">
              <a16:creationId xmlns:a16="http://schemas.microsoft.com/office/drawing/2014/main" id="{05AC999C-6AAA-4DF1-9AC7-29F5ACB8A777}"/>
            </a:ext>
          </a:extLst>
        </xdr:cNvPr>
        <xdr:cNvCxnSpPr/>
      </xdr:nvCxnSpPr>
      <xdr:spPr>
        <a:xfrm>
          <a:off x="3772676" y="5066157"/>
          <a:ext cx="659996"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34</xdr:row>
      <xdr:rowOff>119064</xdr:rowOff>
    </xdr:from>
    <xdr:to>
      <xdr:col>4</xdr:col>
      <xdr:colOff>61509</xdr:colOff>
      <xdr:row>34</xdr:row>
      <xdr:rowOff>119064</xdr:rowOff>
    </xdr:to>
    <xdr:cxnSp macro="">
      <xdr:nvCxnSpPr>
        <xdr:cNvPr id="52" name="Connecteur droit avec flèche 51">
          <a:extLst>
            <a:ext uri="{FF2B5EF4-FFF2-40B4-BE49-F238E27FC236}">
              <a16:creationId xmlns:a16="http://schemas.microsoft.com/office/drawing/2014/main" id="{E39CEBFB-D6A8-4921-B55F-6EA99DD6F61F}"/>
            </a:ext>
          </a:extLst>
        </xdr:cNvPr>
        <xdr:cNvCxnSpPr/>
      </xdr:nvCxnSpPr>
      <xdr:spPr>
        <a:xfrm>
          <a:off x="3772676" y="5066157"/>
          <a:ext cx="659996"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35</xdr:row>
      <xdr:rowOff>119064</xdr:rowOff>
    </xdr:from>
    <xdr:to>
      <xdr:col>4</xdr:col>
      <xdr:colOff>61509</xdr:colOff>
      <xdr:row>35</xdr:row>
      <xdr:rowOff>119064</xdr:rowOff>
    </xdr:to>
    <xdr:cxnSp macro="">
      <xdr:nvCxnSpPr>
        <xdr:cNvPr id="53" name="Connecteur droit avec flèche 52">
          <a:extLst>
            <a:ext uri="{FF2B5EF4-FFF2-40B4-BE49-F238E27FC236}">
              <a16:creationId xmlns:a16="http://schemas.microsoft.com/office/drawing/2014/main" id="{87DB72AB-29C6-4162-BEA3-6328234FF1E4}"/>
            </a:ext>
          </a:extLst>
        </xdr:cNvPr>
        <xdr:cNvCxnSpPr/>
      </xdr:nvCxnSpPr>
      <xdr:spPr>
        <a:xfrm>
          <a:off x="3772676" y="5066157"/>
          <a:ext cx="659996"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84194</xdr:colOff>
      <xdr:row>106</xdr:row>
      <xdr:rowOff>119064</xdr:rowOff>
    </xdr:from>
    <xdr:to>
      <xdr:col>15</xdr:col>
      <xdr:colOff>72271</xdr:colOff>
      <xdr:row>106</xdr:row>
      <xdr:rowOff>119064</xdr:rowOff>
    </xdr:to>
    <xdr:cxnSp macro="">
      <xdr:nvCxnSpPr>
        <xdr:cNvPr id="87" name="Connecteur droit avec flèche 86">
          <a:extLst>
            <a:ext uri="{FF2B5EF4-FFF2-40B4-BE49-F238E27FC236}">
              <a16:creationId xmlns:a16="http://schemas.microsoft.com/office/drawing/2014/main" id="{C67B4487-D21B-4A41-BD82-A3C10FA4CE73}"/>
            </a:ext>
          </a:extLst>
        </xdr:cNvPr>
        <xdr:cNvCxnSpPr/>
      </xdr:nvCxnSpPr>
      <xdr:spPr>
        <a:xfrm>
          <a:off x="12999448" y="18049742"/>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105</xdr:row>
      <xdr:rowOff>97539</xdr:rowOff>
    </xdr:from>
    <xdr:to>
      <xdr:col>15</xdr:col>
      <xdr:colOff>72271</xdr:colOff>
      <xdr:row>105</xdr:row>
      <xdr:rowOff>97539</xdr:rowOff>
    </xdr:to>
    <xdr:cxnSp macro="">
      <xdr:nvCxnSpPr>
        <xdr:cNvPr id="98" name="Connecteur droit avec flèche 97">
          <a:extLst>
            <a:ext uri="{FF2B5EF4-FFF2-40B4-BE49-F238E27FC236}">
              <a16:creationId xmlns:a16="http://schemas.microsoft.com/office/drawing/2014/main" id="{7E03CFEC-EC62-921B-E8E3-92BFC85185A4}"/>
            </a:ext>
          </a:extLst>
        </xdr:cNvPr>
        <xdr:cNvCxnSpPr/>
      </xdr:nvCxnSpPr>
      <xdr:spPr>
        <a:xfrm>
          <a:off x="12999448" y="17845251"/>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104</xdr:row>
      <xdr:rowOff>97539</xdr:rowOff>
    </xdr:from>
    <xdr:to>
      <xdr:col>15</xdr:col>
      <xdr:colOff>72271</xdr:colOff>
      <xdr:row>104</xdr:row>
      <xdr:rowOff>97539</xdr:rowOff>
    </xdr:to>
    <xdr:cxnSp macro="">
      <xdr:nvCxnSpPr>
        <xdr:cNvPr id="99" name="Connecteur droit avec flèche 98">
          <a:extLst>
            <a:ext uri="{FF2B5EF4-FFF2-40B4-BE49-F238E27FC236}">
              <a16:creationId xmlns:a16="http://schemas.microsoft.com/office/drawing/2014/main" id="{C159E36C-52DE-2072-AD86-7F2248673257}"/>
            </a:ext>
          </a:extLst>
        </xdr:cNvPr>
        <xdr:cNvCxnSpPr/>
      </xdr:nvCxnSpPr>
      <xdr:spPr>
        <a:xfrm>
          <a:off x="12999448" y="17662285"/>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103</xdr:row>
      <xdr:rowOff>119065</xdr:rowOff>
    </xdr:from>
    <xdr:to>
      <xdr:col>15</xdr:col>
      <xdr:colOff>72271</xdr:colOff>
      <xdr:row>103</xdr:row>
      <xdr:rowOff>119065</xdr:rowOff>
    </xdr:to>
    <xdr:cxnSp macro="">
      <xdr:nvCxnSpPr>
        <xdr:cNvPr id="100" name="Connecteur droit avec flèche 99">
          <a:extLst>
            <a:ext uri="{FF2B5EF4-FFF2-40B4-BE49-F238E27FC236}">
              <a16:creationId xmlns:a16="http://schemas.microsoft.com/office/drawing/2014/main" id="{F2C45D4B-1AE4-82FE-45E7-1994201BF953}"/>
            </a:ext>
          </a:extLst>
        </xdr:cNvPr>
        <xdr:cNvCxnSpPr/>
      </xdr:nvCxnSpPr>
      <xdr:spPr>
        <a:xfrm>
          <a:off x="12999448" y="17500845"/>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102</xdr:row>
      <xdr:rowOff>97539</xdr:rowOff>
    </xdr:from>
    <xdr:to>
      <xdr:col>15</xdr:col>
      <xdr:colOff>72271</xdr:colOff>
      <xdr:row>102</xdr:row>
      <xdr:rowOff>97539</xdr:rowOff>
    </xdr:to>
    <xdr:cxnSp macro="">
      <xdr:nvCxnSpPr>
        <xdr:cNvPr id="101" name="Connecteur droit avec flèche 100">
          <a:extLst>
            <a:ext uri="{FF2B5EF4-FFF2-40B4-BE49-F238E27FC236}">
              <a16:creationId xmlns:a16="http://schemas.microsoft.com/office/drawing/2014/main" id="{B957F9AC-D241-676B-A17E-7FA57893A5AE}"/>
            </a:ext>
          </a:extLst>
        </xdr:cNvPr>
        <xdr:cNvCxnSpPr/>
      </xdr:nvCxnSpPr>
      <xdr:spPr>
        <a:xfrm>
          <a:off x="12999448" y="17296353"/>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101</xdr:row>
      <xdr:rowOff>119065</xdr:rowOff>
    </xdr:from>
    <xdr:to>
      <xdr:col>15</xdr:col>
      <xdr:colOff>72271</xdr:colOff>
      <xdr:row>101</xdr:row>
      <xdr:rowOff>119065</xdr:rowOff>
    </xdr:to>
    <xdr:cxnSp macro="">
      <xdr:nvCxnSpPr>
        <xdr:cNvPr id="102" name="Connecteur droit avec flèche 101">
          <a:extLst>
            <a:ext uri="{FF2B5EF4-FFF2-40B4-BE49-F238E27FC236}">
              <a16:creationId xmlns:a16="http://schemas.microsoft.com/office/drawing/2014/main" id="{4F522606-9FA9-9DB0-4D07-EEB5711D6998}"/>
            </a:ext>
          </a:extLst>
        </xdr:cNvPr>
        <xdr:cNvCxnSpPr/>
      </xdr:nvCxnSpPr>
      <xdr:spPr>
        <a:xfrm>
          <a:off x="12999448" y="17134912"/>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100</xdr:row>
      <xdr:rowOff>108302</xdr:rowOff>
    </xdr:from>
    <xdr:to>
      <xdr:col>15</xdr:col>
      <xdr:colOff>72271</xdr:colOff>
      <xdr:row>100</xdr:row>
      <xdr:rowOff>108302</xdr:rowOff>
    </xdr:to>
    <xdr:cxnSp macro="">
      <xdr:nvCxnSpPr>
        <xdr:cNvPr id="103" name="Connecteur droit avec flèche 102">
          <a:extLst>
            <a:ext uri="{FF2B5EF4-FFF2-40B4-BE49-F238E27FC236}">
              <a16:creationId xmlns:a16="http://schemas.microsoft.com/office/drawing/2014/main" id="{22501732-7F6A-5038-016F-397F911534B4}"/>
            </a:ext>
          </a:extLst>
        </xdr:cNvPr>
        <xdr:cNvCxnSpPr/>
      </xdr:nvCxnSpPr>
      <xdr:spPr>
        <a:xfrm>
          <a:off x="12999448" y="16941183"/>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99</xdr:row>
      <xdr:rowOff>86777</xdr:rowOff>
    </xdr:from>
    <xdr:to>
      <xdr:col>15</xdr:col>
      <xdr:colOff>72271</xdr:colOff>
      <xdr:row>99</xdr:row>
      <xdr:rowOff>86777</xdr:rowOff>
    </xdr:to>
    <xdr:cxnSp macro="">
      <xdr:nvCxnSpPr>
        <xdr:cNvPr id="104" name="Connecteur droit avec flèche 103">
          <a:extLst>
            <a:ext uri="{FF2B5EF4-FFF2-40B4-BE49-F238E27FC236}">
              <a16:creationId xmlns:a16="http://schemas.microsoft.com/office/drawing/2014/main" id="{88A19206-51D5-67F2-A326-E7A516EC6664}"/>
            </a:ext>
          </a:extLst>
        </xdr:cNvPr>
        <xdr:cNvCxnSpPr/>
      </xdr:nvCxnSpPr>
      <xdr:spPr>
        <a:xfrm>
          <a:off x="12999448" y="16736692"/>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98</xdr:row>
      <xdr:rowOff>108303</xdr:rowOff>
    </xdr:from>
    <xdr:to>
      <xdr:col>15</xdr:col>
      <xdr:colOff>72271</xdr:colOff>
      <xdr:row>98</xdr:row>
      <xdr:rowOff>108303</xdr:rowOff>
    </xdr:to>
    <xdr:cxnSp macro="">
      <xdr:nvCxnSpPr>
        <xdr:cNvPr id="105" name="Connecteur droit avec flèche 104">
          <a:extLst>
            <a:ext uri="{FF2B5EF4-FFF2-40B4-BE49-F238E27FC236}">
              <a16:creationId xmlns:a16="http://schemas.microsoft.com/office/drawing/2014/main" id="{5C6636CD-8E4F-6F20-C2CA-3C7016EB19E6}"/>
            </a:ext>
          </a:extLst>
        </xdr:cNvPr>
        <xdr:cNvCxnSpPr/>
      </xdr:nvCxnSpPr>
      <xdr:spPr>
        <a:xfrm>
          <a:off x="12999448" y="16575252"/>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97</xdr:row>
      <xdr:rowOff>86777</xdr:rowOff>
    </xdr:from>
    <xdr:to>
      <xdr:col>15</xdr:col>
      <xdr:colOff>72271</xdr:colOff>
      <xdr:row>97</xdr:row>
      <xdr:rowOff>86777</xdr:rowOff>
    </xdr:to>
    <xdr:cxnSp macro="">
      <xdr:nvCxnSpPr>
        <xdr:cNvPr id="106" name="Connecteur droit avec flèche 105">
          <a:extLst>
            <a:ext uri="{FF2B5EF4-FFF2-40B4-BE49-F238E27FC236}">
              <a16:creationId xmlns:a16="http://schemas.microsoft.com/office/drawing/2014/main" id="{81E85C81-390A-1906-5EAA-3533AF84321F}"/>
            </a:ext>
          </a:extLst>
        </xdr:cNvPr>
        <xdr:cNvCxnSpPr/>
      </xdr:nvCxnSpPr>
      <xdr:spPr>
        <a:xfrm>
          <a:off x="12999448" y="16370760"/>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96</xdr:row>
      <xdr:rowOff>119065</xdr:rowOff>
    </xdr:from>
    <xdr:to>
      <xdr:col>15</xdr:col>
      <xdr:colOff>72271</xdr:colOff>
      <xdr:row>96</xdr:row>
      <xdr:rowOff>119065</xdr:rowOff>
    </xdr:to>
    <xdr:cxnSp macro="">
      <xdr:nvCxnSpPr>
        <xdr:cNvPr id="107" name="Connecteur droit avec flèche 106">
          <a:extLst>
            <a:ext uri="{FF2B5EF4-FFF2-40B4-BE49-F238E27FC236}">
              <a16:creationId xmlns:a16="http://schemas.microsoft.com/office/drawing/2014/main" id="{C0B0E3C4-1EE5-FDE5-BE64-51B7E57ACBFC}"/>
            </a:ext>
          </a:extLst>
        </xdr:cNvPr>
        <xdr:cNvCxnSpPr/>
      </xdr:nvCxnSpPr>
      <xdr:spPr>
        <a:xfrm>
          <a:off x="12999448" y="16220082"/>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95</xdr:row>
      <xdr:rowOff>86777</xdr:rowOff>
    </xdr:from>
    <xdr:to>
      <xdr:col>15</xdr:col>
      <xdr:colOff>72271</xdr:colOff>
      <xdr:row>95</xdr:row>
      <xdr:rowOff>86777</xdr:rowOff>
    </xdr:to>
    <xdr:cxnSp macro="">
      <xdr:nvCxnSpPr>
        <xdr:cNvPr id="108" name="Connecteur droit avec flèche 107">
          <a:extLst>
            <a:ext uri="{FF2B5EF4-FFF2-40B4-BE49-F238E27FC236}">
              <a16:creationId xmlns:a16="http://schemas.microsoft.com/office/drawing/2014/main" id="{48128447-ABC1-27F9-7568-E9FD17847B5E}"/>
            </a:ext>
          </a:extLst>
        </xdr:cNvPr>
        <xdr:cNvCxnSpPr/>
      </xdr:nvCxnSpPr>
      <xdr:spPr>
        <a:xfrm>
          <a:off x="12999448" y="16004828"/>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94</xdr:row>
      <xdr:rowOff>97539</xdr:rowOff>
    </xdr:from>
    <xdr:to>
      <xdr:col>15</xdr:col>
      <xdr:colOff>72271</xdr:colOff>
      <xdr:row>94</xdr:row>
      <xdr:rowOff>97539</xdr:rowOff>
    </xdr:to>
    <xdr:cxnSp macro="">
      <xdr:nvCxnSpPr>
        <xdr:cNvPr id="109" name="Connecteur droit avec flèche 108">
          <a:extLst>
            <a:ext uri="{FF2B5EF4-FFF2-40B4-BE49-F238E27FC236}">
              <a16:creationId xmlns:a16="http://schemas.microsoft.com/office/drawing/2014/main" id="{95DCFB6D-6702-B80B-DB8D-5ED7A894BA7A}"/>
            </a:ext>
          </a:extLst>
        </xdr:cNvPr>
        <xdr:cNvCxnSpPr/>
      </xdr:nvCxnSpPr>
      <xdr:spPr>
        <a:xfrm>
          <a:off x="12999448" y="15832624"/>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93</xdr:row>
      <xdr:rowOff>108302</xdr:rowOff>
    </xdr:from>
    <xdr:to>
      <xdr:col>15</xdr:col>
      <xdr:colOff>72271</xdr:colOff>
      <xdr:row>93</xdr:row>
      <xdr:rowOff>108302</xdr:rowOff>
    </xdr:to>
    <xdr:cxnSp macro="">
      <xdr:nvCxnSpPr>
        <xdr:cNvPr id="110" name="Connecteur droit avec flèche 109">
          <a:extLst>
            <a:ext uri="{FF2B5EF4-FFF2-40B4-BE49-F238E27FC236}">
              <a16:creationId xmlns:a16="http://schemas.microsoft.com/office/drawing/2014/main" id="{4D1996DA-637D-9275-8DAF-C2FA76681F65}"/>
            </a:ext>
          </a:extLst>
        </xdr:cNvPr>
        <xdr:cNvCxnSpPr/>
      </xdr:nvCxnSpPr>
      <xdr:spPr>
        <a:xfrm>
          <a:off x="12999448" y="15660421"/>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92</xdr:row>
      <xdr:rowOff>97539</xdr:rowOff>
    </xdr:from>
    <xdr:to>
      <xdr:col>15</xdr:col>
      <xdr:colOff>72271</xdr:colOff>
      <xdr:row>92</xdr:row>
      <xdr:rowOff>97539</xdr:rowOff>
    </xdr:to>
    <xdr:cxnSp macro="">
      <xdr:nvCxnSpPr>
        <xdr:cNvPr id="111" name="Connecteur droit avec flèche 110">
          <a:extLst>
            <a:ext uri="{FF2B5EF4-FFF2-40B4-BE49-F238E27FC236}">
              <a16:creationId xmlns:a16="http://schemas.microsoft.com/office/drawing/2014/main" id="{DA5526B4-5AB9-3471-CB89-EF2C02891846}"/>
            </a:ext>
          </a:extLst>
        </xdr:cNvPr>
        <xdr:cNvCxnSpPr/>
      </xdr:nvCxnSpPr>
      <xdr:spPr>
        <a:xfrm>
          <a:off x="12999448" y="15466692"/>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84194</xdr:colOff>
      <xdr:row>91</xdr:row>
      <xdr:rowOff>86777</xdr:rowOff>
    </xdr:from>
    <xdr:to>
      <xdr:col>15</xdr:col>
      <xdr:colOff>72271</xdr:colOff>
      <xdr:row>91</xdr:row>
      <xdr:rowOff>86777</xdr:rowOff>
    </xdr:to>
    <xdr:cxnSp macro="">
      <xdr:nvCxnSpPr>
        <xdr:cNvPr id="112" name="Connecteur droit avec flèche 111">
          <a:extLst>
            <a:ext uri="{FF2B5EF4-FFF2-40B4-BE49-F238E27FC236}">
              <a16:creationId xmlns:a16="http://schemas.microsoft.com/office/drawing/2014/main" id="{CC4CD116-A7DA-8663-2655-7A81B08D9609}"/>
            </a:ext>
          </a:extLst>
        </xdr:cNvPr>
        <xdr:cNvCxnSpPr/>
      </xdr:nvCxnSpPr>
      <xdr:spPr>
        <a:xfrm>
          <a:off x="12999448" y="15272963"/>
          <a:ext cx="7522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73432</xdr:colOff>
      <xdr:row>14</xdr:row>
      <xdr:rowOff>119064</xdr:rowOff>
    </xdr:from>
    <xdr:to>
      <xdr:col>4</xdr:col>
      <xdr:colOff>61509</xdr:colOff>
      <xdr:row>14</xdr:row>
      <xdr:rowOff>119064</xdr:rowOff>
    </xdr:to>
    <xdr:cxnSp macro="">
      <xdr:nvCxnSpPr>
        <xdr:cNvPr id="2" name="Connecteur droit avec flèche 1">
          <a:extLst>
            <a:ext uri="{FF2B5EF4-FFF2-40B4-BE49-F238E27FC236}">
              <a16:creationId xmlns:a16="http://schemas.microsoft.com/office/drawing/2014/main" id="{1C0184A3-83A2-487D-B951-FDEA062DEEAB}"/>
            </a:ext>
          </a:extLst>
        </xdr:cNvPr>
        <xdr:cNvCxnSpPr/>
      </xdr:nvCxnSpPr>
      <xdr:spPr>
        <a:xfrm>
          <a:off x="3769132" y="5059364"/>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15</xdr:row>
      <xdr:rowOff>111126</xdr:rowOff>
    </xdr:from>
    <xdr:to>
      <xdr:col>4</xdr:col>
      <xdr:colOff>53571</xdr:colOff>
      <xdr:row>15</xdr:row>
      <xdr:rowOff>111126</xdr:rowOff>
    </xdr:to>
    <xdr:cxnSp macro="">
      <xdr:nvCxnSpPr>
        <xdr:cNvPr id="3" name="Connecteur droit avec flèche 2">
          <a:extLst>
            <a:ext uri="{FF2B5EF4-FFF2-40B4-BE49-F238E27FC236}">
              <a16:creationId xmlns:a16="http://schemas.microsoft.com/office/drawing/2014/main" id="{536BF187-629E-48B9-A5FF-7B5FAC4657F4}"/>
            </a:ext>
          </a:extLst>
        </xdr:cNvPr>
        <xdr:cNvCxnSpPr/>
      </xdr:nvCxnSpPr>
      <xdr:spPr>
        <a:xfrm>
          <a:off x="3761194" y="5235576"/>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16</xdr:row>
      <xdr:rowOff>111127</xdr:rowOff>
    </xdr:from>
    <xdr:to>
      <xdr:col>4</xdr:col>
      <xdr:colOff>53571</xdr:colOff>
      <xdr:row>16</xdr:row>
      <xdr:rowOff>111127</xdr:rowOff>
    </xdr:to>
    <xdr:cxnSp macro="">
      <xdr:nvCxnSpPr>
        <xdr:cNvPr id="4" name="Connecteur droit avec flèche 3">
          <a:extLst>
            <a:ext uri="{FF2B5EF4-FFF2-40B4-BE49-F238E27FC236}">
              <a16:creationId xmlns:a16="http://schemas.microsoft.com/office/drawing/2014/main" id="{9D7A1A0D-DCEA-4D40-A25E-5BF9C5A571AA}"/>
            </a:ext>
          </a:extLst>
        </xdr:cNvPr>
        <xdr:cNvCxnSpPr/>
      </xdr:nvCxnSpPr>
      <xdr:spPr>
        <a:xfrm>
          <a:off x="3761194" y="541972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15</xdr:row>
      <xdr:rowOff>111127</xdr:rowOff>
    </xdr:from>
    <xdr:to>
      <xdr:col>4</xdr:col>
      <xdr:colOff>53571</xdr:colOff>
      <xdr:row>15</xdr:row>
      <xdr:rowOff>111127</xdr:rowOff>
    </xdr:to>
    <xdr:cxnSp macro="">
      <xdr:nvCxnSpPr>
        <xdr:cNvPr id="5" name="Connecteur droit avec flèche 4">
          <a:extLst>
            <a:ext uri="{FF2B5EF4-FFF2-40B4-BE49-F238E27FC236}">
              <a16:creationId xmlns:a16="http://schemas.microsoft.com/office/drawing/2014/main" id="{077F1F5A-9921-409C-AC50-071FE26F9966}"/>
            </a:ext>
          </a:extLst>
        </xdr:cNvPr>
        <xdr:cNvCxnSpPr/>
      </xdr:nvCxnSpPr>
      <xdr:spPr>
        <a:xfrm>
          <a:off x="3761194" y="523557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17</xdr:row>
      <xdr:rowOff>111127</xdr:rowOff>
    </xdr:from>
    <xdr:to>
      <xdr:col>4</xdr:col>
      <xdr:colOff>53571</xdr:colOff>
      <xdr:row>17</xdr:row>
      <xdr:rowOff>111127</xdr:rowOff>
    </xdr:to>
    <xdr:cxnSp macro="">
      <xdr:nvCxnSpPr>
        <xdr:cNvPr id="6" name="Connecteur droit avec flèche 5">
          <a:extLst>
            <a:ext uri="{FF2B5EF4-FFF2-40B4-BE49-F238E27FC236}">
              <a16:creationId xmlns:a16="http://schemas.microsoft.com/office/drawing/2014/main" id="{36194E8C-B189-4182-8213-1FE5828F8CE2}"/>
            </a:ext>
          </a:extLst>
        </xdr:cNvPr>
        <xdr:cNvCxnSpPr/>
      </xdr:nvCxnSpPr>
      <xdr:spPr>
        <a:xfrm>
          <a:off x="3761194" y="560387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18</xdr:row>
      <xdr:rowOff>111127</xdr:rowOff>
    </xdr:from>
    <xdr:to>
      <xdr:col>4</xdr:col>
      <xdr:colOff>53571</xdr:colOff>
      <xdr:row>18</xdr:row>
      <xdr:rowOff>111127</xdr:rowOff>
    </xdr:to>
    <xdr:cxnSp macro="">
      <xdr:nvCxnSpPr>
        <xdr:cNvPr id="7" name="Connecteur droit avec flèche 6">
          <a:extLst>
            <a:ext uri="{FF2B5EF4-FFF2-40B4-BE49-F238E27FC236}">
              <a16:creationId xmlns:a16="http://schemas.microsoft.com/office/drawing/2014/main" id="{30A0D3FB-1D21-43F6-9F50-BBB909460489}"/>
            </a:ext>
          </a:extLst>
        </xdr:cNvPr>
        <xdr:cNvCxnSpPr/>
      </xdr:nvCxnSpPr>
      <xdr:spPr>
        <a:xfrm>
          <a:off x="3761194" y="578802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19</xdr:row>
      <xdr:rowOff>111127</xdr:rowOff>
    </xdr:from>
    <xdr:to>
      <xdr:col>4</xdr:col>
      <xdr:colOff>53571</xdr:colOff>
      <xdr:row>19</xdr:row>
      <xdr:rowOff>111127</xdr:rowOff>
    </xdr:to>
    <xdr:cxnSp macro="">
      <xdr:nvCxnSpPr>
        <xdr:cNvPr id="8" name="Connecteur droit avec flèche 7">
          <a:extLst>
            <a:ext uri="{FF2B5EF4-FFF2-40B4-BE49-F238E27FC236}">
              <a16:creationId xmlns:a16="http://schemas.microsoft.com/office/drawing/2014/main" id="{5FFCAA56-5883-4FB2-8DEF-D827AA424DD0}"/>
            </a:ext>
          </a:extLst>
        </xdr:cNvPr>
        <xdr:cNvCxnSpPr/>
      </xdr:nvCxnSpPr>
      <xdr:spPr>
        <a:xfrm>
          <a:off x="3761194" y="597217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27</xdr:row>
      <xdr:rowOff>119064</xdr:rowOff>
    </xdr:from>
    <xdr:to>
      <xdr:col>4</xdr:col>
      <xdr:colOff>61509</xdr:colOff>
      <xdr:row>27</xdr:row>
      <xdr:rowOff>119064</xdr:rowOff>
    </xdr:to>
    <xdr:cxnSp macro="">
      <xdr:nvCxnSpPr>
        <xdr:cNvPr id="9" name="Connecteur droit avec flèche 8">
          <a:extLst>
            <a:ext uri="{FF2B5EF4-FFF2-40B4-BE49-F238E27FC236}">
              <a16:creationId xmlns:a16="http://schemas.microsoft.com/office/drawing/2014/main" id="{426DA245-EA27-4305-8C98-68C9765192DB}"/>
            </a:ext>
          </a:extLst>
        </xdr:cNvPr>
        <xdr:cNvCxnSpPr/>
      </xdr:nvCxnSpPr>
      <xdr:spPr>
        <a:xfrm>
          <a:off x="3769132" y="7453314"/>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20</xdr:row>
      <xdr:rowOff>111127</xdr:rowOff>
    </xdr:from>
    <xdr:to>
      <xdr:col>4</xdr:col>
      <xdr:colOff>53571</xdr:colOff>
      <xdr:row>20</xdr:row>
      <xdr:rowOff>111127</xdr:rowOff>
    </xdr:to>
    <xdr:cxnSp macro="">
      <xdr:nvCxnSpPr>
        <xdr:cNvPr id="10" name="Connecteur droit avec flèche 9">
          <a:extLst>
            <a:ext uri="{FF2B5EF4-FFF2-40B4-BE49-F238E27FC236}">
              <a16:creationId xmlns:a16="http://schemas.microsoft.com/office/drawing/2014/main" id="{36ABD458-ECD2-4558-B25F-43182EBED910}"/>
            </a:ext>
          </a:extLst>
        </xdr:cNvPr>
        <xdr:cNvCxnSpPr/>
      </xdr:nvCxnSpPr>
      <xdr:spPr>
        <a:xfrm>
          <a:off x="3761194" y="615632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21</xdr:row>
      <xdr:rowOff>111127</xdr:rowOff>
    </xdr:from>
    <xdr:to>
      <xdr:col>4</xdr:col>
      <xdr:colOff>53571</xdr:colOff>
      <xdr:row>21</xdr:row>
      <xdr:rowOff>111127</xdr:rowOff>
    </xdr:to>
    <xdr:cxnSp macro="">
      <xdr:nvCxnSpPr>
        <xdr:cNvPr id="11" name="Connecteur droit avec flèche 10">
          <a:extLst>
            <a:ext uri="{FF2B5EF4-FFF2-40B4-BE49-F238E27FC236}">
              <a16:creationId xmlns:a16="http://schemas.microsoft.com/office/drawing/2014/main" id="{999D69BC-AE65-4223-85C2-DD33F0FDED7A}"/>
            </a:ext>
          </a:extLst>
        </xdr:cNvPr>
        <xdr:cNvCxnSpPr/>
      </xdr:nvCxnSpPr>
      <xdr:spPr>
        <a:xfrm>
          <a:off x="3761194" y="634047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22</xdr:row>
      <xdr:rowOff>111127</xdr:rowOff>
    </xdr:from>
    <xdr:to>
      <xdr:col>4</xdr:col>
      <xdr:colOff>53571</xdr:colOff>
      <xdr:row>22</xdr:row>
      <xdr:rowOff>111127</xdr:rowOff>
    </xdr:to>
    <xdr:cxnSp macro="">
      <xdr:nvCxnSpPr>
        <xdr:cNvPr id="12" name="Connecteur droit avec flèche 11">
          <a:extLst>
            <a:ext uri="{FF2B5EF4-FFF2-40B4-BE49-F238E27FC236}">
              <a16:creationId xmlns:a16="http://schemas.microsoft.com/office/drawing/2014/main" id="{E9414387-3988-43FF-96DA-3A4FA4F07E4D}"/>
            </a:ext>
          </a:extLst>
        </xdr:cNvPr>
        <xdr:cNvCxnSpPr/>
      </xdr:nvCxnSpPr>
      <xdr:spPr>
        <a:xfrm>
          <a:off x="3761194" y="652462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23</xdr:row>
      <xdr:rowOff>111127</xdr:rowOff>
    </xdr:from>
    <xdr:to>
      <xdr:col>4</xdr:col>
      <xdr:colOff>53571</xdr:colOff>
      <xdr:row>23</xdr:row>
      <xdr:rowOff>111127</xdr:rowOff>
    </xdr:to>
    <xdr:cxnSp macro="">
      <xdr:nvCxnSpPr>
        <xdr:cNvPr id="13" name="Connecteur droit avec flèche 12">
          <a:extLst>
            <a:ext uri="{FF2B5EF4-FFF2-40B4-BE49-F238E27FC236}">
              <a16:creationId xmlns:a16="http://schemas.microsoft.com/office/drawing/2014/main" id="{2D770750-A682-4D5E-82B9-0EE622C823D7}"/>
            </a:ext>
          </a:extLst>
        </xdr:cNvPr>
        <xdr:cNvCxnSpPr/>
      </xdr:nvCxnSpPr>
      <xdr:spPr>
        <a:xfrm>
          <a:off x="3761194" y="6708777"/>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24</xdr:row>
      <xdr:rowOff>119064</xdr:rowOff>
    </xdr:from>
    <xdr:to>
      <xdr:col>4</xdr:col>
      <xdr:colOff>61509</xdr:colOff>
      <xdr:row>24</xdr:row>
      <xdr:rowOff>119064</xdr:rowOff>
    </xdr:to>
    <xdr:cxnSp macro="">
      <xdr:nvCxnSpPr>
        <xdr:cNvPr id="14" name="Connecteur droit avec flèche 13">
          <a:extLst>
            <a:ext uri="{FF2B5EF4-FFF2-40B4-BE49-F238E27FC236}">
              <a16:creationId xmlns:a16="http://schemas.microsoft.com/office/drawing/2014/main" id="{57B03DF1-6F0F-4D3F-9C8F-21EA7F62DBFD}"/>
            </a:ext>
          </a:extLst>
        </xdr:cNvPr>
        <xdr:cNvCxnSpPr/>
      </xdr:nvCxnSpPr>
      <xdr:spPr>
        <a:xfrm>
          <a:off x="3769132" y="6900864"/>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25</xdr:row>
      <xdr:rowOff>119064</xdr:rowOff>
    </xdr:from>
    <xdr:to>
      <xdr:col>4</xdr:col>
      <xdr:colOff>61509</xdr:colOff>
      <xdr:row>25</xdr:row>
      <xdr:rowOff>119064</xdr:rowOff>
    </xdr:to>
    <xdr:cxnSp macro="">
      <xdr:nvCxnSpPr>
        <xdr:cNvPr id="15" name="Connecteur droit avec flèche 14">
          <a:extLst>
            <a:ext uri="{FF2B5EF4-FFF2-40B4-BE49-F238E27FC236}">
              <a16:creationId xmlns:a16="http://schemas.microsoft.com/office/drawing/2014/main" id="{67147014-CE20-45C2-8613-5E2A6A3E5C91}"/>
            </a:ext>
          </a:extLst>
        </xdr:cNvPr>
        <xdr:cNvCxnSpPr/>
      </xdr:nvCxnSpPr>
      <xdr:spPr>
        <a:xfrm>
          <a:off x="3769132" y="7085014"/>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26</xdr:row>
      <xdr:rowOff>119064</xdr:rowOff>
    </xdr:from>
    <xdr:to>
      <xdr:col>4</xdr:col>
      <xdr:colOff>61509</xdr:colOff>
      <xdr:row>26</xdr:row>
      <xdr:rowOff>119064</xdr:rowOff>
    </xdr:to>
    <xdr:cxnSp macro="">
      <xdr:nvCxnSpPr>
        <xdr:cNvPr id="16" name="Connecteur droit avec flèche 15">
          <a:extLst>
            <a:ext uri="{FF2B5EF4-FFF2-40B4-BE49-F238E27FC236}">
              <a16:creationId xmlns:a16="http://schemas.microsoft.com/office/drawing/2014/main" id="{CE044A86-2405-4CF7-81CC-9C25FA325984}"/>
            </a:ext>
          </a:extLst>
        </xdr:cNvPr>
        <xdr:cNvCxnSpPr/>
      </xdr:nvCxnSpPr>
      <xdr:spPr>
        <a:xfrm>
          <a:off x="3769132" y="7269164"/>
          <a:ext cx="6611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73432</xdr:colOff>
      <xdr:row>37</xdr:row>
      <xdr:rowOff>119064</xdr:rowOff>
    </xdr:from>
    <xdr:to>
      <xdr:col>4</xdr:col>
      <xdr:colOff>61509</xdr:colOff>
      <xdr:row>37</xdr:row>
      <xdr:rowOff>119064</xdr:rowOff>
    </xdr:to>
    <xdr:cxnSp macro="">
      <xdr:nvCxnSpPr>
        <xdr:cNvPr id="2" name="Connecteur droit avec flèche 1">
          <a:extLst>
            <a:ext uri="{FF2B5EF4-FFF2-40B4-BE49-F238E27FC236}">
              <a16:creationId xmlns:a16="http://schemas.microsoft.com/office/drawing/2014/main" id="{A314ACFD-5B64-4FDD-B5D3-62590E163A63}"/>
            </a:ext>
          </a:extLst>
        </xdr:cNvPr>
        <xdr:cNvCxnSpPr/>
      </xdr:nvCxnSpPr>
      <xdr:spPr>
        <a:xfrm>
          <a:off x="3769132" y="2773364"/>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38</xdr:row>
      <xdr:rowOff>111126</xdr:rowOff>
    </xdr:from>
    <xdr:to>
      <xdr:col>4</xdr:col>
      <xdr:colOff>53571</xdr:colOff>
      <xdr:row>38</xdr:row>
      <xdr:rowOff>111126</xdr:rowOff>
    </xdr:to>
    <xdr:cxnSp macro="">
      <xdr:nvCxnSpPr>
        <xdr:cNvPr id="3" name="Connecteur droit avec flèche 2">
          <a:extLst>
            <a:ext uri="{FF2B5EF4-FFF2-40B4-BE49-F238E27FC236}">
              <a16:creationId xmlns:a16="http://schemas.microsoft.com/office/drawing/2014/main" id="{84094190-0DC2-4C44-8A59-C2116ECDE7D9}"/>
            </a:ext>
          </a:extLst>
        </xdr:cNvPr>
        <xdr:cNvCxnSpPr/>
      </xdr:nvCxnSpPr>
      <xdr:spPr>
        <a:xfrm>
          <a:off x="3761194" y="2949576"/>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39</xdr:row>
      <xdr:rowOff>111127</xdr:rowOff>
    </xdr:from>
    <xdr:to>
      <xdr:col>4</xdr:col>
      <xdr:colOff>53571</xdr:colOff>
      <xdr:row>39</xdr:row>
      <xdr:rowOff>111127</xdr:rowOff>
    </xdr:to>
    <xdr:cxnSp macro="">
      <xdr:nvCxnSpPr>
        <xdr:cNvPr id="4" name="Connecteur droit avec flèche 3">
          <a:extLst>
            <a:ext uri="{FF2B5EF4-FFF2-40B4-BE49-F238E27FC236}">
              <a16:creationId xmlns:a16="http://schemas.microsoft.com/office/drawing/2014/main" id="{3EDFB96C-734F-4646-A9E6-CF7FED3DC95D}"/>
            </a:ext>
          </a:extLst>
        </xdr:cNvPr>
        <xdr:cNvCxnSpPr/>
      </xdr:nvCxnSpPr>
      <xdr:spPr>
        <a:xfrm>
          <a:off x="3761194" y="313372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38</xdr:row>
      <xdr:rowOff>111127</xdr:rowOff>
    </xdr:from>
    <xdr:to>
      <xdr:col>4</xdr:col>
      <xdr:colOff>53571</xdr:colOff>
      <xdr:row>38</xdr:row>
      <xdr:rowOff>111127</xdr:rowOff>
    </xdr:to>
    <xdr:cxnSp macro="">
      <xdr:nvCxnSpPr>
        <xdr:cNvPr id="5" name="Connecteur droit avec flèche 4">
          <a:extLst>
            <a:ext uri="{FF2B5EF4-FFF2-40B4-BE49-F238E27FC236}">
              <a16:creationId xmlns:a16="http://schemas.microsoft.com/office/drawing/2014/main" id="{48703C5E-5052-431B-BC7D-480EA0606E64}"/>
            </a:ext>
          </a:extLst>
        </xdr:cNvPr>
        <xdr:cNvCxnSpPr/>
      </xdr:nvCxnSpPr>
      <xdr:spPr>
        <a:xfrm>
          <a:off x="3761194" y="294957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40</xdr:row>
      <xdr:rowOff>111127</xdr:rowOff>
    </xdr:from>
    <xdr:to>
      <xdr:col>4</xdr:col>
      <xdr:colOff>53571</xdr:colOff>
      <xdr:row>40</xdr:row>
      <xdr:rowOff>111127</xdr:rowOff>
    </xdr:to>
    <xdr:cxnSp macro="">
      <xdr:nvCxnSpPr>
        <xdr:cNvPr id="6" name="Connecteur droit avec flèche 5">
          <a:extLst>
            <a:ext uri="{FF2B5EF4-FFF2-40B4-BE49-F238E27FC236}">
              <a16:creationId xmlns:a16="http://schemas.microsoft.com/office/drawing/2014/main" id="{147A2AAC-FF5B-4F0F-90E9-8A9D4617460D}"/>
            </a:ext>
          </a:extLst>
        </xdr:cNvPr>
        <xdr:cNvCxnSpPr/>
      </xdr:nvCxnSpPr>
      <xdr:spPr>
        <a:xfrm>
          <a:off x="3761194" y="331787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41</xdr:row>
      <xdr:rowOff>111127</xdr:rowOff>
    </xdr:from>
    <xdr:to>
      <xdr:col>4</xdr:col>
      <xdr:colOff>53571</xdr:colOff>
      <xdr:row>41</xdr:row>
      <xdr:rowOff>111127</xdr:rowOff>
    </xdr:to>
    <xdr:cxnSp macro="">
      <xdr:nvCxnSpPr>
        <xdr:cNvPr id="7" name="Connecteur droit avec flèche 6">
          <a:extLst>
            <a:ext uri="{FF2B5EF4-FFF2-40B4-BE49-F238E27FC236}">
              <a16:creationId xmlns:a16="http://schemas.microsoft.com/office/drawing/2014/main" id="{E96F157D-147D-47DC-A519-4E1EBB030138}"/>
            </a:ext>
          </a:extLst>
        </xdr:cNvPr>
        <xdr:cNvCxnSpPr/>
      </xdr:nvCxnSpPr>
      <xdr:spPr>
        <a:xfrm>
          <a:off x="3761194" y="350202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42</xdr:row>
      <xdr:rowOff>111127</xdr:rowOff>
    </xdr:from>
    <xdr:to>
      <xdr:col>4</xdr:col>
      <xdr:colOff>53571</xdr:colOff>
      <xdr:row>42</xdr:row>
      <xdr:rowOff>111127</xdr:rowOff>
    </xdr:to>
    <xdr:cxnSp macro="">
      <xdr:nvCxnSpPr>
        <xdr:cNvPr id="8" name="Connecteur droit avec flèche 7">
          <a:extLst>
            <a:ext uri="{FF2B5EF4-FFF2-40B4-BE49-F238E27FC236}">
              <a16:creationId xmlns:a16="http://schemas.microsoft.com/office/drawing/2014/main" id="{C5657406-A019-4A99-AAFB-159B639F8F29}"/>
            </a:ext>
          </a:extLst>
        </xdr:cNvPr>
        <xdr:cNvCxnSpPr/>
      </xdr:nvCxnSpPr>
      <xdr:spPr>
        <a:xfrm>
          <a:off x="3761194" y="368617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50</xdr:row>
      <xdr:rowOff>119064</xdr:rowOff>
    </xdr:from>
    <xdr:to>
      <xdr:col>4</xdr:col>
      <xdr:colOff>61509</xdr:colOff>
      <xdr:row>50</xdr:row>
      <xdr:rowOff>119064</xdr:rowOff>
    </xdr:to>
    <xdr:cxnSp macro="">
      <xdr:nvCxnSpPr>
        <xdr:cNvPr id="9" name="Connecteur droit avec flèche 8">
          <a:extLst>
            <a:ext uri="{FF2B5EF4-FFF2-40B4-BE49-F238E27FC236}">
              <a16:creationId xmlns:a16="http://schemas.microsoft.com/office/drawing/2014/main" id="{E3906E3B-705C-406E-B356-3DAB76BE4549}"/>
            </a:ext>
          </a:extLst>
        </xdr:cNvPr>
        <xdr:cNvCxnSpPr/>
      </xdr:nvCxnSpPr>
      <xdr:spPr>
        <a:xfrm>
          <a:off x="3769132" y="5167314"/>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43</xdr:row>
      <xdr:rowOff>111127</xdr:rowOff>
    </xdr:from>
    <xdr:to>
      <xdr:col>4</xdr:col>
      <xdr:colOff>53571</xdr:colOff>
      <xdr:row>43</xdr:row>
      <xdr:rowOff>111127</xdr:rowOff>
    </xdr:to>
    <xdr:cxnSp macro="">
      <xdr:nvCxnSpPr>
        <xdr:cNvPr id="10" name="Connecteur droit avec flèche 9">
          <a:extLst>
            <a:ext uri="{FF2B5EF4-FFF2-40B4-BE49-F238E27FC236}">
              <a16:creationId xmlns:a16="http://schemas.microsoft.com/office/drawing/2014/main" id="{37BA61B6-FB10-4B80-ADB6-49A7AE8C6D78}"/>
            </a:ext>
          </a:extLst>
        </xdr:cNvPr>
        <xdr:cNvCxnSpPr/>
      </xdr:nvCxnSpPr>
      <xdr:spPr>
        <a:xfrm>
          <a:off x="3761194" y="387032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44</xdr:row>
      <xdr:rowOff>111127</xdr:rowOff>
    </xdr:from>
    <xdr:to>
      <xdr:col>4</xdr:col>
      <xdr:colOff>53571</xdr:colOff>
      <xdr:row>44</xdr:row>
      <xdr:rowOff>111127</xdr:rowOff>
    </xdr:to>
    <xdr:cxnSp macro="">
      <xdr:nvCxnSpPr>
        <xdr:cNvPr id="11" name="Connecteur droit avec flèche 10">
          <a:extLst>
            <a:ext uri="{FF2B5EF4-FFF2-40B4-BE49-F238E27FC236}">
              <a16:creationId xmlns:a16="http://schemas.microsoft.com/office/drawing/2014/main" id="{934986F7-57FE-4E33-8A74-910AB7A50721}"/>
            </a:ext>
          </a:extLst>
        </xdr:cNvPr>
        <xdr:cNvCxnSpPr/>
      </xdr:nvCxnSpPr>
      <xdr:spPr>
        <a:xfrm>
          <a:off x="3761194" y="405447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45</xdr:row>
      <xdr:rowOff>111127</xdr:rowOff>
    </xdr:from>
    <xdr:to>
      <xdr:col>4</xdr:col>
      <xdr:colOff>53571</xdr:colOff>
      <xdr:row>45</xdr:row>
      <xdr:rowOff>111127</xdr:rowOff>
    </xdr:to>
    <xdr:cxnSp macro="">
      <xdr:nvCxnSpPr>
        <xdr:cNvPr id="12" name="Connecteur droit avec flèche 11">
          <a:extLst>
            <a:ext uri="{FF2B5EF4-FFF2-40B4-BE49-F238E27FC236}">
              <a16:creationId xmlns:a16="http://schemas.microsoft.com/office/drawing/2014/main" id="{A46859B3-77CE-4AB0-98E8-CD4B2FE2B3B8}"/>
            </a:ext>
          </a:extLst>
        </xdr:cNvPr>
        <xdr:cNvCxnSpPr/>
      </xdr:nvCxnSpPr>
      <xdr:spPr>
        <a:xfrm>
          <a:off x="3761194" y="423862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65494</xdr:colOff>
      <xdr:row>46</xdr:row>
      <xdr:rowOff>111127</xdr:rowOff>
    </xdr:from>
    <xdr:to>
      <xdr:col>4</xdr:col>
      <xdr:colOff>53571</xdr:colOff>
      <xdr:row>46</xdr:row>
      <xdr:rowOff>111127</xdr:rowOff>
    </xdr:to>
    <xdr:cxnSp macro="">
      <xdr:nvCxnSpPr>
        <xdr:cNvPr id="13" name="Connecteur droit avec flèche 12">
          <a:extLst>
            <a:ext uri="{FF2B5EF4-FFF2-40B4-BE49-F238E27FC236}">
              <a16:creationId xmlns:a16="http://schemas.microsoft.com/office/drawing/2014/main" id="{0E856304-EF9A-4C9D-8981-C346DB96418B}"/>
            </a:ext>
          </a:extLst>
        </xdr:cNvPr>
        <xdr:cNvCxnSpPr/>
      </xdr:nvCxnSpPr>
      <xdr:spPr>
        <a:xfrm>
          <a:off x="3761194" y="4422777"/>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47</xdr:row>
      <xdr:rowOff>119064</xdr:rowOff>
    </xdr:from>
    <xdr:to>
      <xdr:col>4</xdr:col>
      <xdr:colOff>61509</xdr:colOff>
      <xdr:row>47</xdr:row>
      <xdr:rowOff>119064</xdr:rowOff>
    </xdr:to>
    <xdr:cxnSp macro="">
      <xdr:nvCxnSpPr>
        <xdr:cNvPr id="14" name="Connecteur droit avec flèche 13">
          <a:extLst>
            <a:ext uri="{FF2B5EF4-FFF2-40B4-BE49-F238E27FC236}">
              <a16:creationId xmlns:a16="http://schemas.microsoft.com/office/drawing/2014/main" id="{366CC2E4-1969-4F4F-A2D3-416CCA597F45}"/>
            </a:ext>
          </a:extLst>
        </xdr:cNvPr>
        <xdr:cNvCxnSpPr/>
      </xdr:nvCxnSpPr>
      <xdr:spPr>
        <a:xfrm>
          <a:off x="3769132" y="4614864"/>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48</xdr:row>
      <xdr:rowOff>119064</xdr:rowOff>
    </xdr:from>
    <xdr:to>
      <xdr:col>4</xdr:col>
      <xdr:colOff>61509</xdr:colOff>
      <xdr:row>48</xdr:row>
      <xdr:rowOff>119064</xdr:rowOff>
    </xdr:to>
    <xdr:cxnSp macro="">
      <xdr:nvCxnSpPr>
        <xdr:cNvPr id="15" name="Connecteur droit avec flèche 14">
          <a:extLst>
            <a:ext uri="{FF2B5EF4-FFF2-40B4-BE49-F238E27FC236}">
              <a16:creationId xmlns:a16="http://schemas.microsoft.com/office/drawing/2014/main" id="{B802AC02-00F7-4272-BEAC-957BDB2BB5A3}"/>
            </a:ext>
          </a:extLst>
        </xdr:cNvPr>
        <xdr:cNvCxnSpPr/>
      </xdr:nvCxnSpPr>
      <xdr:spPr>
        <a:xfrm>
          <a:off x="3769132" y="4799014"/>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73432</xdr:colOff>
      <xdr:row>49</xdr:row>
      <xdr:rowOff>119064</xdr:rowOff>
    </xdr:from>
    <xdr:to>
      <xdr:col>4</xdr:col>
      <xdr:colOff>61509</xdr:colOff>
      <xdr:row>49</xdr:row>
      <xdr:rowOff>119064</xdr:rowOff>
    </xdr:to>
    <xdr:cxnSp macro="">
      <xdr:nvCxnSpPr>
        <xdr:cNvPr id="16" name="Connecteur droit avec flèche 15">
          <a:extLst>
            <a:ext uri="{FF2B5EF4-FFF2-40B4-BE49-F238E27FC236}">
              <a16:creationId xmlns:a16="http://schemas.microsoft.com/office/drawing/2014/main" id="{70BC7D31-2442-4B6A-B57A-8E7184CAFA58}"/>
            </a:ext>
          </a:extLst>
        </xdr:cNvPr>
        <xdr:cNvCxnSpPr/>
      </xdr:nvCxnSpPr>
      <xdr:spPr>
        <a:xfrm>
          <a:off x="3769132" y="4983164"/>
          <a:ext cx="877077"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intonhealthaccessorg-my.sharepoint.com/personal/scamara_clintonhealthaccess_org/Documents/Bureau/4_Outil%20dynamique%20de%20visualisation%20des%20donn&#233;es_base%20de%20donn&#233;es%20BFaso%20170122%20(version%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ection 1. Resultant PNDSS"/>
      <sheetName val="IP"/>
      <sheetName val="Section 1.1 OS et RI"/>
      <sheetName val="Section 1.2. Analyse program"/>
      <sheetName val="PTF Analysis"/>
      <sheetName val="Section 1.0. Analyse par source"/>
      <sheetName val="Section 1.1. Analyse progra"/>
      <sheetName val="Sec 1.2 Catégorie de coûts"/>
      <sheetName val="Sheet4"/>
      <sheetName val="Sect 1.5 exectution budgetaire"/>
      <sheetName val="Section 1.3 Region"/>
      <sheetName val="Geo distrib pivotes"/>
      <sheetName val="BR PNDSS"/>
      <sheetName val="Database"/>
      <sheetName val="Geo graph"/>
      <sheetName val="Analysis bases"/>
      <sheetName val="Base 1 costing"/>
      <sheetName val="Pivot Costing"/>
      <sheetName val="Sheet3"/>
      <sheetName val="BR SRMNIA"/>
      <sheetName val="Couts PNDSS"/>
      <sheetName val="Couts DI SRMNIA-N"/>
      <sheetName val="Sheet1"/>
      <sheetName val="Doublications removed"/>
      <sheetName val="doublications detection"/>
      <sheetName val="data completion"/>
      <sheetName val="Pivots SRMNIA"/>
      <sheetName val="Pivots PNDSS"/>
      <sheetName val="Costing"/>
      <sheetName val="Sheet2"/>
      <sheetName val="4_Outil dynamique de visualis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B41F09-4966-4908-85CC-6722BB847EB2}" name="Tableau2" displayName="Tableau2" ref="B25:E39" totalsRowShown="0" headerRowDxfId="43" dataDxfId="42">
  <autoFilter ref="B25:E39" xr:uid="{C7B41F09-4966-4908-85CC-6722BB847EB2}"/>
  <tableColumns count="4">
    <tableColumn id="1" xr3:uid="{F2DE53BE-A01E-48E1-97D6-1024A5273643}" name="Régions" dataDxfId="47"/>
    <tableColumn id="2" xr3:uid="{798B2537-2339-46D5-BDB7-2E8194D93F89}" name="% pop." dataDxfId="46" dataCellStyle="Pourcentage">
      <calculatedColumnFormula>VLOOKUP(B26,$B$5:$D$17,3,0)</calculatedColumnFormula>
    </tableColumn>
    <tableColumn id="3" xr3:uid="{DA5FAF19-131A-4F27-812E-20298F3BC950}" name="-" dataDxfId="45"/>
    <tableColumn id="4" xr3:uid="{CB21B97D-5449-4936-BDD6-B6C210B276B8}" name="Clé retenue" dataDxfId="44">
      <calculatedColumnFormula>C26*E25/C25</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F128F8-032A-4EEC-AD9D-0165B5D888A8}" name="Tableau24" displayName="Tableau24" ref="L79:O93" totalsRowShown="0" headerRowDxfId="37" dataDxfId="36">
  <autoFilter ref="L79:O93" xr:uid="{38F128F8-032A-4EEC-AD9D-0165B5D888A8}"/>
  <tableColumns count="4">
    <tableColumn id="1" xr3:uid="{E93EEF86-C4FB-4B7A-AF9C-B71CDF96F078}" name="Districts" dataDxfId="41"/>
    <tableColumn id="2" xr3:uid="{D836D5AB-0D04-4C34-ACC5-EE755EBFA2E1}" name="% pop." dataDxfId="40" dataCellStyle="Pourcentage">
      <calculatedColumnFormula>VLOOKUP(L80,$B$5:$D$17,3,0)</calculatedColumnFormula>
    </tableColumn>
    <tableColumn id="3" xr3:uid="{5B64B7B9-F10F-424F-8B42-77AD91E12566}" name="-" dataDxfId="39"/>
    <tableColumn id="4" xr3:uid="{2E3F4254-FFC4-4255-BF82-44524B3B6614}" name="Clé retenue" dataDxfId="38">
      <calculatedColumnFormula>M80*O79/M79</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D2A4A0-2165-4361-932B-1B3377C6611E}" name="Tableau26" displayName="Tableau26" ref="H6:K20" totalsRowShown="0" headerRowDxfId="31" dataDxfId="30">
  <autoFilter ref="H6:K20" xr:uid="{ACD2A4A0-2165-4361-932B-1B3377C6611E}"/>
  <tableColumns count="4">
    <tableColumn id="1" xr3:uid="{0F27EBAF-854F-49A4-A7B9-A24C8371B48D}" name="Régions" dataDxfId="35"/>
    <tableColumn id="2" xr3:uid="{8ED73D6E-9311-4406-A27D-1D6803C04AF5}" name="% pop." dataDxfId="34" dataCellStyle="Pourcentage">
      <calculatedColumnFormula>VLOOKUP(H7,$B$5:$D$17,3,0)</calculatedColumnFormula>
    </tableColumn>
    <tableColumn id="3" xr3:uid="{8CBD726D-F70F-490D-B124-CF9A3587F7EC}" name="-" dataDxfId="33"/>
    <tableColumn id="4" xr3:uid="{1F370B42-8BF9-4E0B-A254-630A2084D0E7}" name="Clé retenue" dataDxfId="32">
      <calculatedColumnFormula>I7*K6/I6</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99A1F0-2FFE-4D72-9747-F336309B506B}" name="Tableau247" displayName="Tableau247" ref="H24:K38" totalsRowShown="0" headerRowDxfId="25" dataDxfId="24">
  <autoFilter ref="H24:K38" xr:uid="{9199A1F0-2FFE-4D72-9747-F336309B506B}"/>
  <tableColumns count="4">
    <tableColumn id="1" xr3:uid="{FD941226-8EB4-4EA6-B953-2754C4B7AC4B}" name="Districts" dataDxfId="29"/>
    <tableColumn id="2" xr3:uid="{580CB484-9F57-4A84-9F53-8C7D529C2B0C}" name="% pop." dataDxfId="28" dataCellStyle="Pourcentage">
      <calculatedColumnFormula>VLOOKUP(H25,$B$5:$D$17,3,0)</calculatedColumnFormula>
    </tableColumn>
    <tableColumn id="3" xr3:uid="{D3812BA1-CE26-41DB-B5DC-FF4E0DBBB0E5}" name="-" dataDxfId="27"/>
    <tableColumn id="4" xr3:uid="{F0F65FCD-094C-4E7D-914A-B5E21D173E2F}" name="Clé retenue" dataDxfId="26">
      <calculatedColumnFormula>I25*K24/I24</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C120E8-59A5-491D-B536-7ABA00E86257}" name="Tableau268" displayName="Tableau268" ref="B23:E37" totalsRowShown="0" headerRowDxfId="19" dataDxfId="18">
  <autoFilter ref="B23:E37" xr:uid="{E7C120E8-59A5-491D-B536-7ABA00E86257}"/>
  <tableColumns count="4">
    <tableColumn id="1" xr3:uid="{2000E881-2A16-42BE-9203-B704C1773536}" name="Régions" dataDxfId="23"/>
    <tableColumn id="2" xr3:uid="{F17BF683-D1FB-4989-852D-B6E3D3858D56}" name="% pop." dataDxfId="22" dataCellStyle="Pourcentage">
      <calculatedColumnFormula>VLOOKUP(B24,$B$5:$D$17,3,0)</calculatedColumnFormula>
    </tableColumn>
    <tableColumn id="3" xr3:uid="{1B3CCE10-895A-447C-8A4E-A3071D0E423C}" name="-" dataDxfId="21"/>
    <tableColumn id="4" xr3:uid="{4429A751-3129-4EDF-8B13-36914EB8B998}" name="Clé retenue" dataDxfId="20">
      <calculatedColumnFormula>C24*E23/C23</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BA6E005-58ED-4AFA-9D12-A1557C4514E2}" name="Tableau2613" displayName="Tableau2613" ref="M91:P107" totalsRowShown="0" headerRowDxfId="1" dataDxfId="0">
  <autoFilter ref="M91:P107" xr:uid="{9BA6E005-58ED-4AFA-9D12-A1557C4514E2}"/>
  <tableColumns count="4">
    <tableColumn id="1" xr3:uid="{CCF9B828-38BF-475B-BADE-EB5F8676B934}" name="Domaines d'intervention" dataDxfId="5"/>
    <tableColumn id="2" xr3:uid="{2E330BEF-AEA7-439A-B9E4-835953E4D5E6}" name="% pop." dataDxfId="4" dataCellStyle="Pourcentage">
      <calculatedColumnFormula>VLOOKUP(M92,$B$5:$D$17,3,0)</calculatedColumnFormula>
    </tableColumn>
    <tableColumn id="3" xr3:uid="{7670DA76-A139-439E-A4DF-F5869F4E291B}" name="-" dataDxfId="3"/>
    <tableColumn id="4" xr3:uid="{B9AB5BB2-E483-4592-83ED-1F6D97ED98F6}" name="Clé retenue" dataDxfId="2">
      <calculatedColumnFormula>N92*P91/N91</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9435E10-7864-4084-8B09-10D2205F5120}" name="Tableau2689" displayName="Tableau2689" ref="B14:E28" totalsRowShown="0" headerRowDxfId="13" dataDxfId="12">
  <autoFilter ref="B14:E28" xr:uid="{59435E10-7864-4084-8B09-10D2205F5120}"/>
  <tableColumns count="4">
    <tableColumn id="1" xr3:uid="{8F909261-A4F3-4FE6-9FA1-077AB9E0A7BD}" name="Niveaux de soins" dataDxfId="17"/>
    <tableColumn id="2" xr3:uid="{3A17D660-C891-4FBC-BD7C-F2D8EC7A49B5}" name="% pop." dataDxfId="16" dataCellStyle="Pourcentage">
      <calculatedColumnFormula>VLOOKUP(B15,$B$5:$D$17,3,0)</calculatedColumnFormula>
    </tableColumn>
    <tableColumn id="3" xr3:uid="{9506CCFE-F920-416F-B7A6-F934847BCA1C}" name="-" dataDxfId="15"/>
    <tableColumn id="4" xr3:uid="{E3D88438-17BD-417C-A4CD-552ABF351B21}" name="Clé retenue" dataDxfId="14">
      <calculatedColumnFormula>C15*E14/C14</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248AE2-E179-405D-A1B4-61D0337FC8E1}" name="Tableau268910" displayName="Tableau268910" ref="B37:E51" totalsRowShown="0" headerRowDxfId="7" dataDxfId="6">
  <autoFilter ref="B37:E51" xr:uid="{17248AE2-E179-405D-A1B4-61D0337FC8E1}"/>
  <tableColumns count="4">
    <tableColumn id="1" xr3:uid="{218F2482-D273-465A-A0DE-4597B63936EC}" name="Maladies" dataDxfId="11"/>
    <tableColumn id="2" xr3:uid="{195CD57A-14E4-4992-A580-C083FA0E9BB2}" name="% pop." dataDxfId="10" dataCellStyle="Pourcentage">
      <calculatedColumnFormula>VLOOKUP(B38,$B$5:$D$17,3,0)</calculatedColumnFormula>
    </tableColumn>
    <tableColumn id="3" xr3:uid="{61B9B74D-6E22-400F-98F1-7EF03449A942}" name="-" dataDxfId="9"/>
    <tableColumn id="4" xr3:uid="{0AAF8208-16F8-41ED-8958-7D5BBC4A492E}" name="Clé retenue" dataDxfId="8">
      <calculatedColumnFormula>C38*E37/C37</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7B618-5766-4DDE-8FEC-6923726AB5A9}">
  <dimension ref="B1:S95"/>
  <sheetViews>
    <sheetView showGridLines="0" tabSelected="1" zoomScale="86" zoomScaleNormal="60" workbookViewId="0">
      <selection activeCell="G3" sqref="G3"/>
    </sheetView>
  </sheetViews>
  <sheetFormatPr baseColWidth="10" defaultColWidth="10.85546875" defaultRowHeight="15"/>
  <cols>
    <col min="1" max="1" width="2.42578125" style="35" customWidth="1"/>
    <col min="2" max="2" width="35.42578125" style="35" customWidth="1"/>
    <col min="3" max="3" width="13.85546875" style="35" customWidth="1"/>
    <col min="4" max="5" width="11" style="35" customWidth="1"/>
    <col min="6" max="6" width="16.7109375" style="35" customWidth="1"/>
    <col min="7" max="7" width="14.140625" style="35" bestFit="1" customWidth="1"/>
    <col min="8" max="8" width="2.28515625" style="35" customWidth="1"/>
    <col min="9" max="9" width="3.85546875" style="62" customWidth="1"/>
    <col min="10" max="10" width="2.5703125" style="35" customWidth="1"/>
    <col min="11" max="11" width="15" style="35" customWidth="1"/>
    <col min="12" max="12" width="31.85546875" style="35" customWidth="1"/>
    <col min="13" max="13" width="10.140625" style="35" bestFit="1" customWidth="1"/>
    <col min="14" max="14" width="10.85546875" style="35"/>
    <col min="15" max="15" width="10.85546875" style="35" bestFit="1" customWidth="1"/>
    <col min="16" max="16" width="15.42578125" style="35" customWidth="1"/>
    <col min="17" max="17" width="19.140625" style="64" bestFit="1" customWidth="1"/>
    <col min="18" max="18" width="10.85546875" style="65"/>
    <col min="19" max="19" width="21.42578125" style="65" customWidth="1"/>
    <col min="20" max="16384" width="10.85546875" style="35"/>
  </cols>
  <sheetData>
    <row r="1" spans="2:17">
      <c r="B1" s="31" t="s">
        <v>280</v>
      </c>
      <c r="C1" s="32"/>
      <c r="D1" s="32"/>
      <c r="L1" s="63" t="s">
        <v>92</v>
      </c>
      <c r="M1" s="63"/>
      <c r="N1" s="63"/>
    </row>
    <row r="2" spans="2:17" ht="21" customHeight="1">
      <c r="B2" s="33" t="s">
        <v>281</v>
      </c>
      <c r="C2" s="32"/>
      <c r="D2" s="32"/>
      <c r="L2" s="66" t="s">
        <v>281</v>
      </c>
      <c r="M2" s="66"/>
      <c r="N2" s="66"/>
    </row>
    <row r="3" spans="2:17">
      <c r="B3" s="34"/>
      <c r="F3" s="67" t="s">
        <v>91</v>
      </c>
      <c r="G3" s="99"/>
      <c r="P3" s="67" t="s">
        <v>91</v>
      </c>
      <c r="Q3" s="100"/>
    </row>
    <row r="4" spans="2:17" ht="35.1" customHeight="1">
      <c r="B4" s="36" t="s">
        <v>93</v>
      </c>
      <c r="C4" s="37" t="s">
        <v>43</v>
      </c>
      <c r="D4" s="38" t="s">
        <v>87</v>
      </c>
      <c r="G4" s="69"/>
      <c r="L4" s="36" t="s">
        <v>84</v>
      </c>
      <c r="M4" s="37" t="s">
        <v>43</v>
      </c>
      <c r="N4" s="38" t="s">
        <v>87</v>
      </c>
    </row>
    <row r="5" spans="2:17">
      <c r="B5" s="39" t="s">
        <v>44</v>
      </c>
      <c r="C5" s="40">
        <v>2032464</v>
      </c>
      <c r="D5" s="41">
        <f>C5/$C$18</f>
        <v>9.1616597065368122E-2</v>
      </c>
      <c r="G5" s="70">
        <f>$G$3*D5</f>
        <v>0</v>
      </c>
      <c r="K5" s="71" t="s">
        <v>44</v>
      </c>
      <c r="L5" s="72" t="s">
        <v>45</v>
      </c>
      <c r="M5" s="73">
        <v>319902</v>
      </c>
      <c r="N5" s="74">
        <f>M5/$M$75</f>
        <v>1.442009926591831E-2</v>
      </c>
      <c r="Q5" s="75">
        <f>$Q$3*N5</f>
        <v>0</v>
      </c>
    </row>
    <row r="6" spans="2:17">
      <c r="B6" s="42" t="s">
        <v>51</v>
      </c>
      <c r="C6" s="43">
        <v>882482</v>
      </c>
      <c r="D6" s="44">
        <f>C6/$C$18</f>
        <v>3.9779301287225843E-2</v>
      </c>
      <c r="G6" s="70">
        <f t="shared" ref="G6:G18" si="0">$G$3*D6</f>
        <v>0</v>
      </c>
      <c r="K6" s="42" t="s">
        <v>44</v>
      </c>
      <c r="L6" s="76" t="s">
        <v>46</v>
      </c>
      <c r="M6" s="77">
        <v>418524</v>
      </c>
      <c r="N6" s="78">
        <f t="shared" ref="N6:N69" si="1">M6/$M$75</f>
        <v>1.8865645182490873E-2</v>
      </c>
      <c r="Q6" s="75">
        <f t="shared" ref="Q6:Q69" si="2">$Q$3*N6</f>
        <v>0</v>
      </c>
    </row>
    <row r="7" spans="2:17">
      <c r="B7" s="42" t="s">
        <v>55</v>
      </c>
      <c r="C7" s="43">
        <v>3340720</v>
      </c>
      <c r="D7" s="44">
        <f t="shared" ref="D6:D17" si="3">C7/$C$18</f>
        <v>0.15058834899324985</v>
      </c>
      <c r="G7" s="70">
        <f t="shared" si="0"/>
        <v>0</v>
      </c>
      <c r="K7" s="42" t="s">
        <v>44</v>
      </c>
      <c r="L7" s="76" t="s">
        <v>47</v>
      </c>
      <c r="M7" s="77">
        <v>380577</v>
      </c>
      <c r="N7" s="78">
        <f t="shared" si="1"/>
        <v>1.7155122876147674E-2</v>
      </c>
      <c r="Q7" s="75">
        <f t="shared" si="2"/>
        <v>0</v>
      </c>
    </row>
    <row r="8" spans="2:17">
      <c r="B8" s="42" t="s">
        <v>61</v>
      </c>
      <c r="C8" s="43">
        <v>1700143</v>
      </c>
      <c r="D8" s="44">
        <f t="shared" si="3"/>
        <v>7.6636691318766853E-2</v>
      </c>
      <c r="G8" s="70">
        <f t="shared" si="0"/>
        <v>0</v>
      </c>
      <c r="K8" s="42" t="s">
        <v>44</v>
      </c>
      <c r="L8" s="76" t="s">
        <v>48</v>
      </c>
      <c r="M8" s="77">
        <v>370003</v>
      </c>
      <c r="N8" s="78">
        <f t="shared" si="1"/>
        <v>1.6678482749990849E-2</v>
      </c>
      <c r="Q8" s="75">
        <f t="shared" si="2"/>
        <v>0</v>
      </c>
    </row>
    <row r="9" spans="2:17">
      <c r="B9" s="42" t="s">
        <v>69</v>
      </c>
      <c r="C9" s="43">
        <v>2040743</v>
      </c>
      <c r="D9" s="44">
        <f t="shared" si="3"/>
        <v>9.1989786360285125E-2</v>
      </c>
      <c r="G9" s="70">
        <f t="shared" si="0"/>
        <v>0</v>
      </c>
      <c r="K9" s="42" t="s">
        <v>44</v>
      </c>
      <c r="L9" s="76" t="s">
        <v>49</v>
      </c>
      <c r="M9" s="77">
        <v>239449</v>
      </c>
      <c r="N9" s="78">
        <f t="shared" si="1"/>
        <v>1.0793550365814761E-2</v>
      </c>
      <c r="Q9" s="75">
        <f t="shared" si="2"/>
        <v>0</v>
      </c>
    </row>
    <row r="10" spans="2:17">
      <c r="B10" s="42" t="s">
        <v>76</v>
      </c>
      <c r="C10" s="43">
        <v>1786200</v>
      </c>
      <c r="D10" s="44">
        <f t="shared" si="3"/>
        <v>8.0515849568878237E-2</v>
      </c>
      <c r="G10" s="70">
        <f t="shared" si="0"/>
        <v>0</v>
      </c>
      <c r="K10" s="42" t="s">
        <v>44</v>
      </c>
      <c r="L10" s="76" t="s">
        <v>50</v>
      </c>
      <c r="M10" s="77">
        <v>304009</v>
      </c>
      <c r="N10" s="78">
        <f t="shared" si="1"/>
        <v>1.3703696625005658E-2</v>
      </c>
      <c r="Q10" s="75">
        <f t="shared" si="2"/>
        <v>0</v>
      </c>
    </row>
    <row r="11" spans="2:17">
      <c r="B11" s="42" t="s">
        <v>0</v>
      </c>
      <c r="C11" s="43">
        <v>836859</v>
      </c>
      <c r="D11" s="44">
        <f t="shared" si="3"/>
        <v>3.7722770884761996E-2</v>
      </c>
      <c r="G11" s="70">
        <f t="shared" si="0"/>
        <v>0</v>
      </c>
      <c r="K11" s="71" t="s">
        <v>51</v>
      </c>
      <c r="L11" s="72" t="s">
        <v>52</v>
      </c>
      <c r="M11" s="73">
        <v>414271</v>
      </c>
      <c r="N11" s="74">
        <f t="shared" si="1"/>
        <v>1.8673934339239032E-2</v>
      </c>
      <c r="Q11" s="75">
        <f t="shared" si="2"/>
        <v>0</v>
      </c>
    </row>
    <row r="12" spans="2:17">
      <c r="B12" s="42" t="s">
        <v>5</v>
      </c>
      <c r="C12" s="43">
        <v>2121102</v>
      </c>
      <c r="D12" s="44">
        <f t="shared" si="3"/>
        <v>9.5612098058586253E-2</v>
      </c>
      <c r="G12" s="70">
        <f t="shared" si="0"/>
        <v>0</v>
      </c>
      <c r="K12" s="42" t="s">
        <v>51</v>
      </c>
      <c r="L12" s="76" t="s">
        <v>53</v>
      </c>
      <c r="M12" s="77">
        <v>274521</v>
      </c>
      <c r="N12" s="78">
        <f t="shared" si="1"/>
        <v>1.2374477404264932E-2</v>
      </c>
      <c r="Q12" s="75">
        <f t="shared" si="2"/>
        <v>0</v>
      </c>
    </row>
    <row r="13" spans="2:17">
      <c r="B13" s="42" t="s">
        <v>12</v>
      </c>
      <c r="C13" s="43">
        <v>2432240</v>
      </c>
      <c r="D13" s="44">
        <f t="shared" si="3"/>
        <v>0.1096371458713517</v>
      </c>
      <c r="G13" s="70">
        <f t="shared" si="0"/>
        <v>0</v>
      </c>
      <c r="K13" s="42" t="s">
        <v>51</v>
      </c>
      <c r="L13" s="76" t="s">
        <v>54</v>
      </c>
      <c r="M13" s="77">
        <v>193690</v>
      </c>
      <c r="N13" s="78">
        <f t="shared" si="1"/>
        <v>8.7308895437218821E-3</v>
      </c>
      <c r="Q13" s="75">
        <f t="shared" si="2"/>
        <v>0</v>
      </c>
    </row>
    <row r="14" spans="2:17">
      <c r="B14" s="42" t="s">
        <v>21</v>
      </c>
      <c r="C14" s="43">
        <v>1860352</v>
      </c>
      <c r="D14" s="44">
        <f t="shared" si="3"/>
        <v>8.3858370718375194E-2</v>
      </c>
      <c r="G14" s="70">
        <f t="shared" si="0"/>
        <v>0</v>
      </c>
      <c r="K14" s="71" t="s">
        <v>55</v>
      </c>
      <c r="L14" s="72" t="s">
        <v>56</v>
      </c>
      <c r="M14" s="73">
        <v>183055</v>
      </c>
      <c r="N14" s="74">
        <f t="shared" si="1"/>
        <v>8.2514997440549798E-3</v>
      </c>
      <c r="Q14" s="75">
        <f t="shared" si="2"/>
        <v>0</v>
      </c>
    </row>
    <row r="15" spans="2:17">
      <c r="B15" s="42" t="s">
        <v>28</v>
      </c>
      <c r="C15" s="43">
        <v>1053429</v>
      </c>
      <c r="D15" s="44">
        <f t="shared" si="3"/>
        <v>4.7485013377837774E-2</v>
      </c>
      <c r="G15" s="70">
        <f t="shared" si="0"/>
        <v>0</v>
      </c>
      <c r="K15" s="42" t="s">
        <v>55</v>
      </c>
      <c r="L15" s="76" t="s">
        <v>57</v>
      </c>
      <c r="M15" s="77">
        <v>1043132</v>
      </c>
      <c r="N15" s="78">
        <f t="shared" si="1"/>
        <v>4.7020859474013604E-2</v>
      </c>
      <c r="Q15" s="75">
        <f t="shared" si="2"/>
        <v>0</v>
      </c>
    </row>
    <row r="16" spans="2:17">
      <c r="B16" s="42" t="s">
        <v>32</v>
      </c>
      <c r="C16" s="43">
        <v>1154991</v>
      </c>
      <c r="D16" s="44">
        <f t="shared" si="3"/>
        <v>5.2063084542273118E-2</v>
      </c>
      <c r="G16" s="70">
        <f t="shared" si="0"/>
        <v>0</v>
      </c>
      <c r="K16" s="42" t="s">
        <v>55</v>
      </c>
      <c r="L16" s="76" t="s">
        <v>58</v>
      </c>
      <c r="M16" s="77">
        <v>1140368</v>
      </c>
      <c r="N16" s="78">
        <f t="shared" si="1"/>
        <v>5.1403929202307998E-2</v>
      </c>
      <c r="Q16" s="75">
        <f t="shared" si="2"/>
        <v>0</v>
      </c>
    </row>
    <row r="17" spans="2:17">
      <c r="B17" s="42" t="s">
        <v>37</v>
      </c>
      <c r="C17" s="43">
        <v>942727</v>
      </c>
      <c r="D17" s="44">
        <f t="shared" si="3"/>
        <v>4.2494941953039905E-2</v>
      </c>
      <c r="G17" s="70">
        <f t="shared" si="0"/>
        <v>0</v>
      </c>
      <c r="K17" s="42" t="s">
        <v>55</v>
      </c>
      <c r="L17" s="76" t="s">
        <v>59</v>
      </c>
      <c r="M17" s="77">
        <v>351703</v>
      </c>
      <c r="N17" s="78">
        <f t="shared" si="1"/>
        <v>1.5853580696967406E-2</v>
      </c>
      <c r="Q17" s="75">
        <f t="shared" si="2"/>
        <v>0</v>
      </c>
    </row>
    <row r="18" spans="2:17">
      <c r="B18" s="45" t="s">
        <v>88</v>
      </c>
      <c r="C18" s="46">
        <f>SUM(C5:C17)</f>
        <v>22184452</v>
      </c>
      <c r="D18" s="47">
        <f>C18/$C$18</f>
        <v>1</v>
      </c>
      <c r="G18" s="79">
        <f t="shared" si="0"/>
        <v>0</v>
      </c>
      <c r="K18" s="42" t="s">
        <v>55</v>
      </c>
      <c r="L18" s="76" t="s">
        <v>60</v>
      </c>
      <c r="M18" s="77">
        <v>622462</v>
      </c>
      <c r="N18" s="78">
        <f t="shared" si="1"/>
        <v>2.8058479875905883E-2</v>
      </c>
      <c r="Q18" s="75">
        <f t="shared" si="2"/>
        <v>0</v>
      </c>
    </row>
    <row r="19" spans="2:17">
      <c r="K19" s="71" t="s">
        <v>61</v>
      </c>
      <c r="L19" s="72" t="s">
        <v>62</v>
      </c>
      <c r="M19" s="73">
        <v>147594</v>
      </c>
      <c r="N19" s="74">
        <f t="shared" si="1"/>
        <v>6.6530379024011951E-3</v>
      </c>
      <c r="Q19" s="75">
        <f t="shared" si="2"/>
        <v>0</v>
      </c>
    </row>
    <row r="20" spans="2:17">
      <c r="K20" s="42" t="s">
        <v>61</v>
      </c>
      <c r="L20" s="76" t="s">
        <v>63</v>
      </c>
      <c r="M20" s="77">
        <v>221918</v>
      </c>
      <c r="N20" s="78">
        <f t="shared" si="1"/>
        <v>1.0003312229664271E-2</v>
      </c>
      <c r="Q20" s="75">
        <f t="shared" si="2"/>
        <v>0</v>
      </c>
    </row>
    <row r="21" spans="2:17">
      <c r="K21" s="42" t="s">
        <v>61</v>
      </c>
      <c r="L21" s="76" t="s">
        <v>64</v>
      </c>
      <c r="M21" s="77">
        <v>273071</v>
      </c>
      <c r="N21" s="78">
        <f t="shared" si="1"/>
        <v>1.2309116312631927E-2</v>
      </c>
      <c r="Q21" s="75">
        <f t="shared" si="2"/>
        <v>0</v>
      </c>
    </row>
    <row r="22" spans="2:17">
      <c r="K22" s="42" t="s">
        <v>61</v>
      </c>
      <c r="L22" s="76" t="s">
        <v>65</v>
      </c>
      <c r="M22" s="77">
        <v>390247</v>
      </c>
      <c r="N22" s="78">
        <f t="shared" si="1"/>
        <v>1.7591013742417436E-2</v>
      </c>
      <c r="Q22" s="75">
        <f t="shared" si="2"/>
        <v>0</v>
      </c>
    </row>
    <row r="23" spans="2:17">
      <c r="B23" s="80" t="s">
        <v>232</v>
      </c>
      <c r="C23" s="81"/>
      <c r="D23" s="81"/>
      <c r="E23" s="81"/>
      <c r="F23" s="67" t="s">
        <v>91</v>
      </c>
      <c r="G23" s="99"/>
      <c r="K23" s="42" t="s">
        <v>61</v>
      </c>
      <c r="L23" s="76" t="s">
        <v>66</v>
      </c>
      <c r="M23" s="77">
        <v>245578</v>
      </c>
      <c r="N23" s="78">
        <f t="shared" si="1"/>
        <v>1.1069824938655234E-2</v>
      </c>
      <c r="Q23" s="75">
        <f t="shared" si="2"/>
        <v>0</v>
      </c>
    </row>
    <row r="24" spans="2:17" ht="9.9499999999999993" customHeight="1">
      <c r="B24" s="82"/>
      <c r="C24" s="83"/>
      <c r="D24" s="84"/>
      <c r="E24" s="85"/>
      <c r="K24" s="42" t="s">
        <v>61</v>
      </c>
      <c r="L24" s="76" t="s">
        <v>67</v>
      </c>
      <c r="M24" s="77">
        <v>237605</v>
      </c>
      <c r="N24" s="78">
        <f t="shared" si="1"/>
        <v>1.0710429087903546E-2</v>
      </c>
      <c r="Q24" s="75">
        <f t="shared" si="2"/>
        <v>0</v>
      </c>
    </row>
    <row r="25" spans="2:17">
      <c r="B25" s="86" t="s">
        <v>234</v>
      </c>
      <c r="C25" s="87" t="s">
        <v>87</v>
      </c>
      <c r="D25" s="88" t="s">
        <v>236</v>
      </c>
      <c r="E25" s="89" t="s">
        <v>235</v>
      </c>
      <c r="K25" s="42" t="s">
        <v>61</v>
      </c>
      <c r="L25" s="76" t="s">
        <v>68</v>
      </c>
      <c r="M25" s="77">
        <v>184130</v>
      </c>
      <c r="N25" s="78">
        <f t="shared" si="1"/>
        <v>8.2999571050932433E-3</v>
      </c>
      <c r="Q25" s="75">
        <f t="shared" si="2"/>
        <v>0</v>
      </c>
    </row>
    <row r="26" spans="2:17">
      <c r="B26" s="101"/>
      <c r="C26" s="91" t="str">
        <f>IFERROR(VLOOKUP(B26,$B$5:$D$17,3,0),"-")</f>
        <v>-</v>
      </c>
      <c r="D26" s="88"/>
      <c r="E26" s="88" t="str">
        <f t="shared" ref="E26:E38" si="4">IFERROR(C26*$E$39/$C$39,"-")</f>
        <v>-</v>
      </c>
      <c r="G26" s="92" t="str">
        <f>IFERROR($G$23*E26,"-")</f>
        <v>-</v>
      </c>
      <c r="K26" s="71" t="s">
        <v>69</v>
      </c>
      <c r="L26" s="72" t="s">
        <v>70</v>
      </c>
      <c r="M26" s="73">
        <v>209877</v>
      </c>
      <c r="N26" s="74">
        <f t="shared" si="1"/>
        <v>9.460544709420815E-3</v>
      </c>
      <c r="Q26" s="75">
        <f t="shared" si="2"/>
        <v>0</v>
      </c>
    </row>
    <row r="27" spans="2:17">
      <c r="B27" s="101"/>
      <c r="C27" s="91" t="str">
        <f t="shared" ref="C27:C38" si="5">IFERROR(VLOOKUP(B27,$B$5:$D$17,3,0),"-")</f>
        <v>-</v>
      </c>
      <c r="E27" s="88" t="str">
        <f t="shared" si="4"/>
        <v>-</v>
      </c>
      <c r="G27" s="92" t="str">
        <f t="shared" ref="G27:G38" si="6">IFERROR($G$23*E27,"-")</f>
        <v>-</v>
      </c>
      <c r="K27" s="42" t="s">
        <v>69</v>
      </c>
      <c r="L27" s="76" t="s">
        <v>71</v>
      </c>
      <c r="M27" s="77">
        <v>250695</v>
      </c>
      <c r="N27" s="78">
        <f t="shared" si="1"/>
        <v>1.1300481977197364E-2</v>
      </c>
      <c r="Q27" s="75">
        <f t="shared" si="2"/>
        <v>0</v>
      </c>
    </row>
    <row r="28" spans="2:17">
      <c r="B28" s="101"/>
      <c r="C28" s="91" t="str">
        <f t="shared" si="5"/>
        <v>-</v>
      </c>
      <c r="E28" s="88" t="str">
        <f t="shared" si="4"/>
        <v>-</v>
      </c>
      <c r="G28" s="92" t="str">
        <f t="shared" si="6"/>
        <v>-</v>
      </c>
      <c r="K28" s="42" t="s">
        <v>69</v>
      </c>
      <c r="L28" s="76" t="s">
        <v>72</v>
      </c>
      <c r="M28" s="77">
        <v>234591</v>
      </c>
      <c r="N28" s="78">
        <f t="shared" si="1"/>
        <v>1.0574568170536735E-2</v>
      </c>
      <c r="Q28" s="75">
        <f t="shared" si="2"/>
        <v>0</v>
      </c>
    </row>
    <row r="29" spans="2:17">
      <c r="B29" s="101"/>
      <c r="C29" s="91" t="str">
        <f t="shared" si="5"/>
        <v>-</v>
      </c>
      <c r="E29" s="88" t="str">
        <f t="shared" si="4"/>
        <v>-</v>
      </c>
      <c r="G29" s="92" t="str">
        <f t="shared" si="6"/>
        <v>-</v>
      </c>
      <c r="K29" s="42" t="s">
        <v>69</v>
      </c>
      <c r="L29" s="76" t="s">
        <v>73</v>
      </c>
      <c r="M29" s="77">
        <v>513065</v>
      </c>
      <c r="N29" s="78">
        <f t="shared" si="1"/>
        <v>2.3127233433577716E-2</v>
      </c>
      <c r="Q29" s="75">
        <f t="shared" si="2"/>
        <v>0</v>
      </c>
    </row>
    <row r="30" spans="2:17">
      <c r="B30" s="101"/>
      <c r="C30" s="91" t="str">
        <f t="shared" si="5"/>
        <v>-</v>
      </c>
      <c r="E30" s="88" t="str">
        <f t="shared" si="4"/>
        <v>-</v>
      </c>
      <c r="G30" s="92" t="str">
        <f t="shared" si="6"/>
        <v>-</v>
      </c>
      <c r="K30" s="42" t="s">
        <v>69</v>
      </c>
      <c r="L30" s="76" t="s">
        <v>74</v>
      </c>
      <c r="M30" s="77">
        <v>523912</v>
      </c>
      <c r="N30" s="78">
        <f t="shared" si="1"/>
        <v>2.3616179475607513E-2</v>
      </c>
      <c r="Q30" s="75">
        <f t="shared" si="2"/>
        <v>0</v>
      </c>
    </row>
    <row r="31" spans="2:17">
      <c r="B31" s="101"/>
      <c r="C31" s="91" t="str">
        <f t="shared" si="5"/>
        <v>-</v>
      </c>
      <c r="E31" s="88" t="str">
        <f t="shared" si="4"/>
        <v>-</v>
      </c>
      <c r="G31" s="92" t="str">
        <f t="shared" si="6"/>
        <v>-</v>
      </c>
      <c r="K31" s="42" t="s">
        <v>69</v>
      </c>
      <c r="L31" s="76" t="s">
        <v>75</v>
      </c>
      <c r="M31" s="77">
        <v>308603</v>
      </c>
      <c r="N31" s="78">
        <f t="shared" si="1"/>
        <v>1.3910778593944984E-2</v>
      </c>
      <c r="Q31" s="75">
        <f t="shared" si="2"/>
        <v>0</v>
      </c>
    </row>
    <row r="32" spans="2:17">
      <c r="B32" s="101"/>
      <c r="C32" s="91" t="str">
        <f t="shared" si="5"/>
        <v>-</v>
      </c>
      <c r="E32" s="88" t="str">
        <f t="shared" si="4"/>
        <v>-</v>
      </c>
      <c r="G32" s="92" t="str">
        <f t="shared" si="6"/>
        <v>-</v>
      </c>
      <c r="K32" s="71" t="s">
        <v>76</v>
      </c>
      <c r="L32" s="72" t="s">
        <v>77</v>
      </c>
      <c r="M32" s="73">
        <v>436813</v>
      </c>
      <c r="N32" s="74">
        <f t="shared" si="1"/>
        <v>1.96900513927502E-2</v>
      </c>
      <c r="Q32" s="75">
        <f t="shared" si="2"/>
        <v>0</v>
      </c>
    </row>
    <row r="33" spans="2:17">
      <c r="B33" s="101"/>
      <c r="C33" s="91" t="str">
        <f t="shared" si="5"/>
        <v>-</v>
      </c>
      <c r="E33" s="88" t="str">
        <f t="shared" si="4"/>
        <v>-</v>
      </c>
      <c r="G33" s="92" t="str">
        <f t="shared" si="6"/>
        <v>-</v>
      </c>
      <c r="K33" s="42" t="s">
        <v>76</v>
      </c>
      <c r="L33" s="76" t="s">
        <v>78</v>
      </c>
      <c r="M33" s="77">
        <v>368255</v>
      </c>
      <c r="N33" s="78">
        <f t="shared" si="1"/>
        <v>1.6599688827111891E-2</v>
      </c>
      <c r="Q33" s="75">
        <f t="shared" si="2"/>
        <v>0</v>
      </c>
    </row>
    <row r="34" spans="2:17">
      <c r="B34" s="101"/>
      <c r="C34" s="91" t="str">
        <f t="shared" si="5"/>
        <v>-</v>
      </c>
      <c r="E34" s="88" t="str">
        <f t="shared" si="4"/>
        <v>-</v>
      </c>
      <c r="G34" s="92" t="str">
        <f t="shared" si="6"/>
        <v>-</v>
      </c>
      <c r="K34" s="42" t="s">
        <v>76</v>
      </c>
      <c r="L34" s="76" t="s">
        <v>79</v>
      </c>
      <c r="M34" s="77">
        <v>183566</v>
      </c>
      <c r="N34" s="78">
        <f t="shared" si="1"/>
        <v>8.2745338942787506E-3</v>
      </c>
      <c r="Q34" s="75">
        <f t="shared" si="2"/>
        <v>0</v>
      </c>
    </row>
    <row r="35" spans="2:17">
      <c r="B35" s="101"/>
      <c r="C35" s="91" t="str">
        <f t="shared" si="5"/>
        <v>-</v>
      </c>
      <c r="E35" s="88" t="str">
        <f t="shared" si="4"/>
        <v>-</v>
      </c>
      <c r="G35" s="92" t="str">
        <f t="shared" si="6"/>
        <v>-</v>
      </c>
      <c r="K35" s="42" t="s">
        <v>76</v>
      </c>
      <c r="L35" s="76" t="s">
        <v>80</v>
      </c>
      <c r="M35" s="77">
        <v>212840</v>
      </c>
      <c r="N35" s="78">
        <f t="shared" si="1"/>
        <v>9.5941067194267402E-3</v>
      </c>
      <c r="Q35" s="75">
        <f t="shared" si="2"/>
        <v>0</v>
      </c>
    </row>
    <row r="36" spans="2:17">
      <c r="B36" s="101"/>
      <c r="C36" s="91" t="str">
        <f t="shared" si="5"/>
        <v>-</v>
      </c>
      <c r="E36" s="88" t="str">
        <f t="shared" si="4"/>
        <v>-</v>
      </c>
      <c r="G36" s="92" t="str">
        <f t="shared" si="6"/>
        <v>-</v>
      </c>
      <c r="K36" s="42" t="s">
        <v>76</v>
      </c>
      <c r="L36" s="76" t="s">
        <v>81</v>
      </c>
      <c r="M36" s="77">
        <v>119522</v>
      </c>
      <c r="N36" s="78">
        <f t="shared" si="1"/>
        <v>5.3876471683862196E-3</v>
      </c>
      <c r="Q36" s="75">
        <f t="shared" si="2"/>
        <v>0</v>
      </c>
    </row>
    <row r="37" spans="2:17">
      <c r="B37" s="101"/>
      <c r="C37" s="91" t="str">
        <f t="shared" si="5"/>
        <v>-</v>
      </c>
      <c r="E37" s="88" t="str">
        <f t="shared" si="4"/>
        <v>-</v>
      </c>
      <c r="G37" s="92" t="str">
        <f t="shared" si="6"/>
        <v>-</v>
      </c>
      <c r="K37" s="42" t="s">
        <v>76</v>
      </c>
      <c r="L37" s="76" t="s">
        <v>82</v>
      </c>
      <c r="M37" s="77">
        <v>259505</v>
      </c>
      <c r="N37" s="78">
        <f t="shared" si="1"/>
        <v>1.1697606954636517E-2</v>
      </c>
      <c r="Q37" s="75">
        <f t="shared" si="2"/>
        <v>0</v>
      </c>
    </row>
    <row r="38" spans="2:17">
      <c r="B38" s="101"/>
      <c r="C38" s="91" t="str">
        <f t="shared" si="5"/>
        <v>-</v>
      </c>
      <c r="E38" s="88" t="str">
        <f t="shared" si="4"/>
        <v>-</v>
      </c>
      <c r="G38" s="92" t="str">
        <f t="shared" si="6"/>
        <v>-</v>
      </c>
      <c r="K38" s="42" t="s">
        <v>76</v>
      </c>
      <c r="L38" s="76" t="s">
        <v>83</v>
      </c>
      <c r="M38" s="77">
        <v>205699</v>
      </c>
      <c r="N38" s="78">
        <f t="shared" si="1"/>
        <v>9.2722146122879209E-3</v>
      </c>
      <c r="Q38" s="75">
        <f t="shared" si="2"/>
        <v>0</v>
      </c>
    </row>
    <row r="39" spans="2:17">
      <c r="B39" s="93" t="s">
        <v>233</v>
      </c>
      <c r="C39" s="87" cm="1">
        <f t="array" ref="C39">SUM(IF(ISERROR(C26:C38),0,C26:C38))</f>
        <v>0</v>
      </c>
      <c r="D39" s="94"/>
      <c r="E39" s="95">
        <v>1</v>
      </c>
      <c r="G39" s="92"/>
      <c r="K39" s="71" t="s">
        <v>0</v>
      </c>
      <c r="L39" s="72" t="s">
        <v>1</v>
      </c>
      <c r="M39" s="73">
        <v>192629</v>
      </c>
      <c r="N39" s="74">
        <f t="shared" si="1"/>
        <v>8.6830632552924898E-3</v>
      </c>
      <c r="Q39" s="75">
        <f t="shared" si="2"/>
        <v>0</v>
      </c>
    </row>
    <row r="40" spans="2:17">
      <c r="C40" s="87"/>
      <c r="G40" s="92"/>
      <c r="K40" s="42" t="s">
        <v>0</v>
      </c>
      <c r="L40" s="76" t="s">
        <v>2</v>
      </c>
      <c r="M40" s="77">
        <v>332183</v>
      </c>
      <c r="N40" s="78">
        <f t="shared" si="1"/>
        <v>1.4973685173742403E-2</v>
      </c>
      <c r="Q40" s="75">
        <f t="shared" si="2"/>
        <v>0</v>
      </c>
    </row>
    <row r="41" spans="2:17">
      <c r="C41" s="87"/>
      <c r="K41" s="42" t="s">
        <v>0</v>
      </c>
      <c r="L41" s="76" t="s">
        <v>3</v>
      </c>
      <c r="M41" s="77">
        <v>208060</v>
      </c>
      <c r="N41" s="78">
        <f t="shared" si="1"/>
        <v>9.3786405001124208E-3</v>
      </c>
      <c r="Q41" s="75">
        <f t="shared" si="2"/>
        <v>0</v>
      </c>
    </row>
    <row r="42" spans="2:17">
      <c r="C42" s="87"/>
      <c r="K42" s="42" t="s">
        <v>0</v>
      </c>
      <c r="L42" s="76" t="s">
        <v>4</v>
      </c>
      <c r="M42" s="77">
        <v>103987</v>
      </c>
      <c r="N42" s="78">
        <f t="shared" si="1"/>
        <v>4.6873819556146803E-3</v>
      </c>
      <c r="Q42" s="75">
        <f t="shared" si="2"/>
        <v>0</v>
      </c>
    </row>
    <row r="43" spans="2:17">
      <c r="C43" s="87"/>
      <c r="K43" s="71" t="s">
        <v>5</v>
      </c>
      <c r="L43" s="72" t="s">
        <v>6</v>
      </c>
      <c r="M43" s="73">
        <v>460485</v>
      </c>
      <c r="N43" s="74">
        <f t="shared" si="1"/>
        <v>2.0757105021120197E-2</v>
      </c>
      <c r="Q43" s="75">
        <f t="shared" si="2"/>
        <v>0</v>
      </c>
    </row>
    <row r="44" spans="2:17">
      <c r="C44" s="87"/>
      <c r="K44" s="42" t="s">
        <v>5</v>
      </c>
      <c r="L44" s="76" t="s">
        <v>7</v>
      </c>
      <c r="M44" s="77">
        <v>668080</v>
      </c>
      <c r="N44" s="78">
        <f t="shared" si="1"/>
        <v>3.0114784895295139E-2</v>
      </c>
      <c r="Q44" s="75">
        <f t="shared" si="2"/>
        <v>0</v>
      </c>
    </row>
    <row r="45" spans="2:17">
      <c r="C45" s="87"/>
      <c r="K45" s="42" t="s">
        <v>5</v>
      </c>
      <c r="L45" s="76" t="s">
        <v>8</v>
      </c>
      <c r="M45" s="77">
        <v>471357</v>
      </c>
      <c r="N45" s="78">
        <f t="shared" si="1"/>
        <v>2.1247177978522977E-2</v>
      </c>
      <c r="Q45" s="75">
        <f t="shared" si="2"/>
        <v>0</v>
      </c>
    </row>
    <row r="46" spans="2:17">
      <c r="C46" s="87"/>
      <c r="K46" s="42" t="s">
        <v>5</v>
      </c>
      <c r="L46" s="76" t="s">
        <v>9</v>
      </c>
      <c r="M46" s="77">
        <v>112924</v>
      </c>
      <c r="N46" s="78">
        <f t="shared" si="1"/>
        <v>5.090231663148587E-3</v>
      </c>
      <c r="Q46" s="75">
        <f t="shared" si="2"/>
        <v>0</v>
      </c>
    </row>
    <row r="47" spans="2:17">
      <c r="C47" s="87"/>
      <c r="K47" s="42" t="s">
        <v>5</v>
      </c>
      <c r="L47" s="76" t="s">
        <v>10</v>
      </c>
      <c r="M47" s="77">
        <v>280287</v>
      </c>
      <c r="N47" s="78">
        <f t="shared" si="1"/>
        <v>1.2634389165889695E-2</v>
      </c>
      <c r="Q47" s="75">
        <f t="shared" si="2"/>
        <v>0</v>
      </c>
    </row>
    <row r="48" spans="2:17">
      <c r="K48" s="42" t="s">
        <v>5</v>
      </c>
      <c r="L48" s="76" t="s">
        <v>11</v>
      </c>
      <c r="M48" s="77">
        <v>127969</v>
      </c>
      <c r="N48" s="78">
        <f t="shared" si="1"/>
        <v>5.7684093346096624E-3</v>
      </c>
      <c r="Q48" s="75">
        <f t="shared" si="2"/>
        <v>0</v>
      </c>
    </row>
    <row r="49" spans="11:17">
      <c r="K49" s="71" t="s">
        <v>12</v>
      </c>
      <c r="L49" s="72" t="s">
        <v>13</v>
      </c>
      <c r="M49" s="73">
        <v>472686</v>
      </c>
      <c r="N49" s="74">
        <f t="shared" si="1"/>
        <v>2.1307084799750745E-2</v>
      </c>
      <c r="Q49" s="75">
        <f t="shared" si="2"/>
        <v>0</v>
      </c>
    </row>
    <row r="50" spans="11:17">
      <c r="K50" s="42" t="s">
        <v>12</v>
      </c>
      <c r="L50" s="76" t="s">
        <v>14</v>
      </c>
      <c r="M50" s="77">
        <v>245413</v>
      </c>
      <c r="N50" s="78">
        <f t="shared" si="1"/>
        <v>1.1062387297193547E-2</v>
      </c>
      <c r="Q50" s="75">
        <f t="shared" si="2"/>
        <v>0</v>
      </c>
    </row>
    <row r="51" spans="11:17">
      <c r="K51" s="42" t="s">
        <v>12</v>
      </c>
      <c r="L51" s="76" t="s">
        <v>15</v>
      </c>
      <c r="M51" s="77">
        <v>717104</v>
      </c>
      <c r="N51" s="78">
        <f t="shared" si="1"/>
        <v>3.2324620865099574E-2</v>
      </c>
      <c r="Q51" s="75">
        <f t="shared" si="2"/>
        <v>0</v>
      </c>
    </row>
    <row r="52" spans="11:17">
      <c r="K52" s="42" t="s">
        <v>12</v>
      </c>
      <c r="L52" s="76" t="s">
        <v>16</v>
      </c>
      <c r="M52" s="77">
        <v>355331</v>
      </c>
      <c r="N52" s="78">
        <f t="shared" si="1"/>
        <v>1.6017118655894679E-2</v>
      </c>
      <c r="Q52" s="75">
        <f t="shared" si="2"/>
        <v>0</v>
      </c>
    </row>
    <row r="53" spans="11:17">
      <c r="K53" s="42" t="s">
        <v>12</v>
      </c>
      <c r="L53" s="76" t="s">
        <v>17</v>
      </c>
      <c r="M53" s="77">
        <v>130999</v>
      </c>
      <c r="N53" s="78">
        <f t="shared" si="1"/>
        <v>5.9049914778151833E-3</v>
      </c>
      <c r="Q53" s="75">
        <f t="shared" si="2"/>
        <v>0</v>
      </c>
    </row>
    <row r="54" spans="11:17">
      <c r="K54" s="42" t="s">
        <v>12</v>
      </c>
      <c r="L54" s="76" t="s">
        <v>18</v>
      </c>
      <c r="M54" s="77">
        <v>80433</v>
      </c>
      <c r="N54" s="78">
        <f t="shared" si="1"/>
        <v>3.6256473678051636E-3</v>
      </c>
      <c r="Q54" s="75">
        <f t="shared" si="2"/>
        <v>0</v>
      </c>
    </row>
    <row r="55" spans="11:17">
      <c r="K55" s="42" t="s">
        <v>12</v>
      </c>
      <c r="L55" s="76" t="s">
        <v>19</v>
      </c>
      <c r="M55" s="77">
        <v>162629</v>
      </c>
      <c r="N55" s="78">
        <f t="shared" si="1"/>
        <v>7.3307648077130779E-3</v>
      </c>
      <c r="Q55" s="75">
        <f t="shared" si="2"/>
        <v>0</v>
      </c>
    </row>
    <row r="56" spans="11:17">
      <c r="K56" s="42" t="s">
        <v>12</v>
      </c>
      <c r="L56" s="76" t="s">
        <v>20</v>
      </c>
      <c r="M56" s="77">
        <v>267645</v>
      </c>
      <c r="N56" s="78">
        <f t="shared" si="1"/>
        <v>1.2064530600079731E-2</v>
      </c>
      <c r="Q56" s="75">
        <f t="shared" si="2"/>
        <v>0</v>
      </c>
    </row>
    <row r="57" spans="11:17">
      <c r="K57" s="71" t="s">
        <v>21</v>
      </c>
      <c r="L57" s="72" t="s">
        <v>22</v>
      </c>
      <c r="M57" s="73">
        <v>259056</v>
      </c>
      <c r="N57" s="74">
        <f t="shared" si="1"/>
        <v>1.1677367554537745E-2</v>
      </c>
      <c r="Q57" s="75">
        <f t="shared" si="2"/>
        <v>0</v>
      </c>
    </row>
    <row r="58" spans="11:17">
      <c r="K58" s="42" t="s">
        <v>21</v>
      </c>
      <c r="L58" s="76" t="s">
        <v>23</v>
      </c>
      <c r="M58" s="77">
        <v>416104</v>
      </c>
      <c r="N58" s="78">
        <f t="shared" si="1"/>
        <v>1.8756559774386134E-2</v>
      </c>
      <c r="Q58" s="75">
        <f t="shared" si="2"/>
        <v>0</v>
      </c>
    </row>
    <row r="59" spans="11:17">
      <c r="K59" s="42" t="s">
        <v>21</v>
      </c>
      <c r="L59" s="76" t="s">
        <v>24</v>
      </c>
      <c r="M59" s="77">
        <v>272463</v>
      </c>
      <c r="N59" s="78">
        <f t="shared" si="1"/>
        <v>1.2281709730760985E-2</v>
      </c>
      <c r="Q59" s="75">
        <f t="shared" si="2"/>
        <v>0</v>
      </c>
    </row>
    <row r="60" spans="11:17">
      <c r="K60" s="42" t="s">
        <v>21</v>
      </c>
      <c r="L60" s="76" t="s">
        <v>25</v>
      </c>
      <c r="M60" s="77">
        <v>206341</v>
      </c>
      <c r="N60" s="78">
        <f t="shared" si="1"/>
        <v>9.3011537990661201E-3</v>
      </c>
      <c r="Q60" s="75">
        <f t="shared" si="2"/>
        <v>0</v>
      </c>
    </row>
    <row r="61" spans="11:17">
      <c r="K61" s="42" t="s">
        <v>21</v>
      </c>
      <c r="L61" s="76" t="s">
        <v>26</v>
      </c>
      <c r="M61" s="77">
        <v>213040</v>
      </c>
      <c r="N61" s="78">
        <f t="shared" si="1"/>
        <v>9.6031220424106032E-3</v>
      </c>
      <c r="Q61" s="75">
        <f t="shared" si="2"/>
        <v>0</v>
      </c>
    </row>
    <row r="62" spans="11:17">
      <c r="K62" s="42" t="s">
        <v>21</v>
      </c>
      <c r="L62" s="76" t="s">
        <v>27</v>
      </c>
      <c r="M62" s="77">
        <v>493348</v>
      </c>
      <c r="N62" s="78">
        <f t="shared" si="1"/>
        <v>2.2238457817213605E-2</v>
      </c>
      <c r="Q62" s="75">
        <f t="shared" si="2"/>
        <v>0</v>
      </c>
    </row>
    <row r="63" spans="11:17">
      <c r="K63" s="71" t="s">
        <v>28</v>
      </c>
      <c r="L63" s="72" t="s">
        <v>29</v>
      </c>
      <c r="M63" s="73">
        <v>193593</v>
      </c>
      <c r="N63" s="74">
        <f t="shared" si="1"/>
        <v>8.7265171120747085E-3</v>
      </c>
      <c r="Q63" s="75">
        <f t="shared" si="2"/>
        <v>0</v>
      </c>
    </row>
    <row r="64" spans="11:17">
      <c r="K64" s="42" t="s">
        <v>28</v>
      </c>
      <c r="L64" s="76" t="s">
        <v>30</v>
      </c>
      <c r="M64" s="77">
        <v>336222</v>
      </c>
      <c r="N64" s="78">
        <f t="shared" si="1"/>
        <v>1.5155749621401511E-2</v>
      </c>
      <c r="Q64" s="75">
        <f t="shared" si="2"/>
        <v>0</v>
      </c>
    </row>
    <row r="65" spans="11:17">
      <c r="K65" s="42" t="s">
        <v>28</v>
      </c>
      <c r="L65" s="76" t="s">
        <v>31</v>
      </c>
      <c r="M65" s="77">
        <v>523614</v>
      </c>
      <c r="N65" s="78">
        <f t="shared" si="1"/>
        <v>2.3602746644361555E-2</v>
      </c>
      <c r="Q65" s="75">
        <f t="shared" si="2"/>
        <v>0</v>
      </c>
    </row>
    <row r="66" spans="11:17">
      <c r="K66" s="71" t="s">
        <v>32</v>
      </c>
      <c r="L66" s="72" t="s">
        <v>33</v>
      </c>
      <c r="M66" s="73">
        <v>378083</v>
      </c>
      <c r="N66" s="74">
        <f t="shared" si="1"/>
        <v>1.7042701798538906E-2</v>
      </c>
      <c r="Q66" s="75">
        <f t="shared" si="2"/>
        <v>0</v>
      </c>
    </row>
    <row r="67" spans="11:17">
      <c r="K67" s="42" t="s">
        <v>32</v>
      </c>
      <c r="L67" s="76" t="s">
        <v>34</v>
      </c>
      <c r="M67" s="77">
        <v>438158</v>
      </c>
      <c r="N67" s="78">
        <f t="shared" si="1"/>
        <v>1.975067943981668E-2</v>
      </c>
      <c r="Q67" s="75">
        <f t="shared" si="2"/>
        <v>0</v>
      </c>
    </row>
    <row r="68" spans="11:17">
      <c r="K68" s="42" t="s">
        <v>32</v>
      </c>
      <c r="L68" s="76" t="s">
        <v>35</v>
      </c>
      <c r="M68" s="77">
        <v>159906</v>
      </c>
      <c r="N68" s="78">
        <f t="shared" si="1"/>
        <v>7.2080211852877862E-3</v>
      </c>
      <c r="Q68" s="75">
        <f t="shared" si="2"/>
        <v>0</v>
      </c>
    </row>
    <row r="69" spans="11:17">
      <c r="K69" s="42" t="s">
        <v>32</v>
      </c>
      <c r="L69" s="76" t="s">
        <v>36</v>
      </c>
      <c r="M69" s="77">
        <v>178844</v>
      </c>
      <c r="N69" s="78">
        <f t="shared" si="1"/>
        <v>8.0616821186297507E-3</v>
      </c>
      <c r="Q69" s="75">
        <f t="shared" si="2"/>
        <v>0</v>
      </c>
    </row>
    <row r="70" spans="11:17">
      <c r="K70" s="71" t="s">
        <v>37</v>
      </c>
      <c r="L70" s="72" t="s">
        <v>38</v>
      </c>
      <c r="M70" s="73">
        <v>106528</v>
      </c>
      <c r="N70" s="74">
        <f t="shared" ref="N70:N75" si="7">M70/$M$75</f>
        <v>4.8019216341246562E-3</v>
      </c>
      <c r="Q70" s="75">
        <f t="shared" ref="Q70:Q75" si="8">$Q$3*N70</f>
        <v>0</v>
      </c>
    </row>
    <row r="71" spans="11:17">
      <c r="K71" s="42" t="s">
        <v>37</v>
      </c>
      <c r="L71" s="76" t="s">
        <v>39</v>
      </c>
      <c r="M71" s="77">
        <v>285775</v>
      </c>
      <c r="N71" s="78">
        <f t="shared" si="7"/>
        <v>1.2881769628566891E-2</v>
      </c>
      <c r="Q71" s="75">
        <f t="shared" si="8"/>
        <v>0</v>
      </c>
    </row>
    <row r="72" spans="11:17">
      <c r="K72" s="42" t="s">
        <v>37</v>
      </c>
      <c r="L72" s="76" t="s">
        <v>40</v>
      </c>
      <c r="M72" s="77">
        <v>166721</v>
      </c>
      <c r="N72" s="78">
        <f t="shared" si="7"/>
        <v>7.5152183159629092E-3</v>
      </c>
      <c r="Q72" s="75">
        <f t="shared" si="8"/>
        <v>0</v>
      </c>
    </row>
    <row r="73" spans="11:17">
      <c r="K73" s="42" t="s">
        <v>37</v>
      </c>
      <c r="L73" s="76" t="s">
        <v>41</v>
      </c>
      <c r="M73" s="77">
        <v>258550</v>
      </c>
      <c r="N73" s="78">
        <f t="shared" si="7"/>
        <v>1.1654558787388573E-2</v>
      </c>
      <c r="Q73" s="75">
        <f t="shared" si="8"/>
        <v>0</v>
      </c>
    </row>
    <row r="74" spans="11:17">
      <c r="K74" s="42" t="s">
        <v>37</v>
      </c>
      <c r="L74" s="76" t="s">
        <v>42</v>
      </c>
      <c r="M74" s="77">
        <v>125153</v>
      </c>
      <c r="N74" s="78">
        <f t="shared" si="7"/>
        <v>5.6414735869968749E-3</v>
      </c>
      <c r="Q74" s="75">
        <f t="shared" si="8"/>
        <v>0</v>
      </c>
    </row>
    <row r="75" spans="11:17">
      <c r="K75" s="96"/>
      <c r="L75" s="45" t="s">
        <v>88</v>
      </c>
      <c r="M75" s="46">
        <f>SUM(M5:M74)</f>
        <v>22184452</v>
      </c>
      <c r="N75" s="47">
        <f t="shared" si="7"/>
        <v>1</v>
      </c>
      <c r="Q75" s="97">
        <f t="shared" si="8"/>
        <v>0</v>
      </c>
    </row>
    <row r="76" spans="11:17">
      <c r="Q76" s="65"/>
    </row>
    <row r="77" spans="11:17">
      <c r="L77" s="80" t="s">
        <v>237</v>
      </c>
      <c r="M77" s="81"/>
      <c r="N77" s="81"/>
      <c r="O77" s="81"/>
      <c r="P77" s="67" t="s">
        <v>91</v>
      </c>
      <c r="Q77" s="100"/>
    </row>
    <row r="78" spans="11:17">
      <c r="L78" s="82"/>
      <c r="M78" s="83"/>
      <c r="N78" s="84"/>
      <c r="O78" s="85"/>
    </row>
    <row r="79" spans="11:17">
      <c r="L79" s="86" t="s">
        <v>249</v>
      </c>
      <c r="M79" s="87" t="s">
        <v>87</v>
      </c>
      <c r="N79" s="88" t="s">
        <v>236</v>
      </c>
      <c r="O79" s="89" t="s">
        <v>235</v>
      </c>
    </row>
    <row r="80" spans="11:17">
      <c r="L80" s="101"/>
      <c r="M80" s="91" t="str">
        <f>IFERROR(VLOOKUP(Tableau24[[#This Row],[Districts]],$L$5:$N$74,3,0),"-")</f>
        <v>-</v>
      </c>
      <c r="N80" s="88"/>
      <c r="O80" s="88" t="str">
        <f>IFERROR(Tableau24[[#This Row],[% pop.]]*$O$93/$M$93,"-")</f>
        <v>-</v>
      </c>
      <c r="Q80" s="98" t="str">
        <f>IFERROR(Tableau24[[#This Row],[Clé retenue]]*$Q$77,"-")</f>
        <v>-</v>
      </c>
    </row>
    <row r="81" spans="12:19">
      <c r="L81" s="101"/>
      <c r="M81" s="91" t="str">
        <f>IFERROR(VLOOKUP(Tableau24[[#This Row],[Districts]],$L$5:$N$74,3,0),"-")</f>
        <v>-</v>
      </c>
      <c r="O81" s="88" t="str">
        <f>IFERROR(Tableau24[[#This Row],[% pop.]]*$O$93/$M$93,"-")</f>
        <v>-</v>
      </c>
      <c r="Q81" s="98" t="str">
        <f>IFERROR(Tableau24[[#This Row],[Clé retenue]]*$Q$77,"-")</f>
        <v>-</v>
      </c>
    </row>
    <row r="82" spans="12:19">
      <c r="L82" s="101"/>
      <c r="M82" s="91" t="str">
        <f>IFERROR(VLOOKUP(Tableau24[[#This Row],[Districts]],$L$5:$N$74,3,0),"-")</f>
        <v>-</v>
      </c>
      <c r="O82" s="88" t="str">
        <f>IFERROR(Tableau24[[#This Row],[% pop.]]*$O$93/$M$93,"-")</f>
        <v>-</v>
      </c>
      <c r="Q82" s="98" t="str">
        <f>IFERROR(Tableau24[[#This Row],[Clé retenue]]*$Q$77,"-")</f>
        <v>-</v>
      </c>
    </row>
    <row r="83" spans="12:19">
      <c r="L83" s="101"/>
      <c r="M83" s="91" t="str">
        <f>IFERROR(VLOOKUP(Tableau24[[#This Row],[Districts]],$L$5:$N$74,3,0),"-")</f>
        <v>-</v>
      </c>
      <c r="O83" s="88" t="str">
        <f>IFERROR(Tableau24[[#This Row],[% pop.]]*$O$93/$M$93,"-")</f>
        <v>-</v>
      </c>
      <c r="Q83" s="98" t="str">
        <f>IFERROR(Tableau24[[#This Row],[Clé retenue]]*$Q$77,"-")</f>
        <v>-</v>
      </c>
    </row>
    <row r="84" spans="12:19">
      <c r="L84" s="101"/>
      <c r="M84" s="91" t="str">
        <f>IFERROR(VLOOKUP(Tableau24[[#This Row],[Districts]],$L$5:$N$74,3,0),"-")</f>
        <v>-</v>
      </c>
      <c r="O84" s="88" t="str">
        <f>IFERROR(Tableau24[[#This Row],[% pop.]]*$O$93/$M$93,"-")</f>
        <v>-</v>
      </c>
      <c r="Q84" s="98" t="str">
        <f>IFERROR(Tableau24[[#This Row],[Clé retenue]]*$Q$77,"-")</f>
        <v>-</v>
      </c>
    </row>
    <row r="85" spans="12:19">
      <c r="L85" s="101"/>
      <c r="M85" s="91" t="str">
        <f>IFERROR(VLOOKUP(Tableau24[[#This Row],[Districts]],$L$5:$N$74,3,0),"-")</f>
        <v>-</v>
      </c>
      <c r="O85" s="88" t="str">
        <f>IFERROR(Tableau24[[#This Row],[% pop.]]*$O$93/$M$93,"-")</f>
        <v>-</v>
      </c>
      <c r="Q85" s="98" t="str">
        <f>IFERROR(Tableau24[[#This Row],[Clé retenue]]*$Q$77,"-")</f>
        <v>-</v>
      </c>
    </row>
    <row r="86" spans="12:19">
      <c r="L86" s="101"/>
      <c r="M86" s="91" t="str">
        <f>IFERROR(VLOOKUP(Tableau24[[#This Row],[Districts]],$L$5:$N$74,3,0),"-")</f>
        <v>-</v>
      </c>
      <c r="O86" s="88" t="str">
        <f>IFERROR(Tableau24[[#This Row],[% pop.]]*$O$93/$M$93,"-")</f>
        <v>-</v>
      </c>
      <c r="Q86" s="98" t="str">
        <f>IFERROR(Tableau24[[#This Row],[Clé retenue]]*$Q$77,"-")</f>
        <v>-</v>
      </c>
    </row>
    <row r="87" spans="12:19">
      <c r="L87" s="101"/>
      <c r="M87" s="91" t="str">
        <f>IFERROR(VLOOKUP(Tableau24[[#This Row],[Districts]],$L$5:$N$74,3,0),"-")</f>
        <v>-</v>
      </c>
      <c r="O87" s="88" t="str">
        <f>IFERROR(Tableau24[[#This Row],[% pop.]]*$O$93/$M$93,"-")</f>
        <v>-</v>
      </c>
      <c r="Q87" s="98" t="str">
        <f>IFERROR(Tableau24[[#This Row],[Clé retenue]]*$Q$77,"-")</f>
        <v>-</v>
      </c>
    </row>
    <row r="88" spans="12:19">
      <c r="L88" s="101"/>
      <c r="M88" s="91" t="str">
        <f>IFERROR(VLOOKUP(Tableau24[[#This Row],[Districts]],$L$5:$N$74,3,0),"-")</f>
        <v>-</v>
      </c>
      <c r="O88" s="88" t="str">
        <f>IFERROR(Tableau24[[#This Row],[% pop.]]*$O$93/$M$93,"-")</f>
        <v>-</v>
      </c>
      <c r="Q88" s="98" t="str">
        <f>IFERROR(Tableau24[[#This Row],[Clé retenue]]*$Q$77,"-")</f>
        <v>-</v>
      </c>
    </row>
    <row r="89" spans="12:19">
      <c r="L89" s="101"/>
      <c r="M89" s="91" t="str">
        <f>IFERROR(VLOOKUP(Tableau24[[#This Row],[Districts]],$L$5:$N$74,3,0),"-")</f>
        <v>-</v>
      </c>
      <c r="O89" s="88" t="str">
        <f>IFERROR(Tableau24[[#This Row],[% pop.]]*$O$93/$M$93,"-")</f>
        <v>-</v>
      </c>
      <c r="Q89" s="98" t="str">
        <f>IFERROR(Tableau24[[#This Row],[Clé retenue]]*$Q$77,"-")</f>
        <v>-</v>
      </c>
    </row>
    <row r="90" spans="12:19">
      <c r="L90" s="101"/>
      <c r="M90" s="91" t="str">
        <f>IFERROR(VLOOKUP(Tableau24[[#This Row],[Districts]],$L$5:$N$74,3,0),"-")</f>
        <v>-</v>
      </c>
      <c r="O90" s="88" t="str">
        <f>IFERROR(Tableau24[[#This Row],[% pop.]]*$O$93/$M$93,"-")</f>
        <v>-</v>
      </c>
      <c r="Q90" s="98" t="str">
        <f>IFERROR(Tableau24[[#This Row],[Clé retenue]]*$Q$77,"-")</f>
        <v>-</v>
      </c>
    </row>
    <row r="91" spans="12:19">
      <c r="L91" s="101"/>
      <c r="M91" s="91" t="str">
        <f>IFERROR(VLOOKUP(Tableau24[[#This Row],[Districts]],$L$5:$N$74,3,0),"-")</f>
        <v>-</v>
      </c>
      <c r="O91" s="88" t="str">
        <f>IFERROR(Tableau24[[#This Row],[% pop.]]*$O$93/$M$93,"-")</f>
        <v>-</v>
      </c>
      <c r="Q91" s="98" t="str">
        <f>IFERROR(Tableau24[[#This Row],[Clé retenue]]*$Q$77,"-")</f>
        <v>-</v>
      </c>
    </row>
    <row r="92" spans="12:19">
      <c r="L92" s="101"/>
      <c r="M92" s="91" t="str">
        <f>IFERROR(VLOOKUP(Tableau24[[#This Row],[Districts]],$L$5:$N$74,3,0),"-")</f>
        <v>-</v>
      </c>
      <c r="O92" s="88" t="str">
        <f>IFERROR(Tableau24[[#This Row],[% pop.]]*$O$93/$M$93,"-")</f>
        <v>-</v>
      </c>
      <c r="Q92" s="98" t="str">
        <f>IFERROR(Tableau24[[#This Row],[Clé retenue]]*$Q$77,"-")</f>
        <v>-</v>
      </c>
    </row>
    <row r="93" spans="12:19">
      <c r="L93" s="93" t="s">
        <v>238</v>
      </c>
      <c r="M93" s="87" cm="1">
        <f t="array" ref="M93">SUM(IF(ISERROR(M80:M92),0,M80:M92))</f>
        <v>0</v>
      </c>
      <c r="N93" s="94"/>
      <c r="O93" s="95">
        <v>1</v>
      </c>
      <c r="Q93" s="98">
        <f>IFERROR(Tableau24[[#This Row],[Clé retenue]]*$Q$77,"-")</f>
        <v>0</v>
      </c>
    </row>
    <row r="94" spans="12:19">
      <c r="Q94" s="98"/>
    </row>
    <row r="95" spans="12:19">
      <c r="Q95" s="35"/>
      <c r="R95" s="35"/>
      <c r="S95" s="35"/>
    </row>
  </sheetData>
  <sheetProtection algorithmName="SHA-512" hashValue="uBKIZBT6VtDIUURIlleoclqn1eeMW2w6TusAtUT1yfSlOii+Y2HnWy6UBbt24KWjqkSGDbq5N/fcSamGHaeXag==" saltValue="xWWsrbQH/Ldels1FaM9RsQ==" spinCount="100000" sheet="1" selectLockedCells="1"/>
  <mergeCells count="2">
    <mergeCell ref="L1:N1"/>
    <mergeCell ref="L2:N2"/>
  </mergeCells>
  <dataValidations count="2">
    <dataValidation type="list" allowBlank="1" showInputMessage="1" showErrorMessage="1" sqref="B26:B38" xr:uid="{DBBD68B4-A32D-4444-BEE1-6BC183F5083C}">
      <formula1>$B$5:$B$17</formula1>
    </dataValidation>
    <dataValidation type="list" allowBlank="1" showInputMessage="1" showErrorMessage="1" sqref="L80:L92" xr:uid="{F67B8F60-5B48-4FDA-8802-848B449DE4A2}">
      <formula1>$L$5:$L$74</formula1>
    </dataValidation>
  </dataValidations>
  <pageMargins left="0.7" right="0.7" top="0.75" bottom="0.75" header="0.3" footer="0.3"/>
  <pageSetup paperSize="9" orientation="portrait" r:id="rId1"/>
  <ignoredErrors>
    <ignoredError sqref="N81:O92 M93:O93 N80:O80 C26:E38" calculatedColumn="1"/>
    <ignoredError sqref="G5:G18 G26:G38" unlockedFormula="1"/>
  </ignoredError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FBB7-2B2F-459D-97F0-3455D46EFDC8}">
  <dimension ref="B1:M92"/>
  <sheetViews>
    <sheetView showGridLines="0" zoomScale="66" zoomScaleNormal="80" workbookViewId="0">
      <selection activeCell="F3" sqref="F3"/>
    </sheetView>
  </sheetViews>
  <sheetFormatPr baseColWidth="10" defaultColWidth="8" defaultRowHeight="12.75"/>
  <cols>
    <col min="1" max="1" width="4.28515625" style="105" customWidth="1"/>
    <col min="2" max="2" width="35.42578125" style="105" customWidth="1"/>
    <col min="3" max="3" width="13.85546875" style="105" customWidth="1"/>
    <col min="4" max="4" width="8.42578125" style="104" bestFit="1" customWidth="1"/>
    <col min="5" max="7" width="17.85546875" style="104" customWidth="1"/>
    <col min="8" max="8" width="35.42578125" style="105" customWidth="1"/>
    <col min="9" max="9" width="13.85546875" style="105" customWidth="1"/>
    <col min="10" max="11" width="11" style="105" customWidth="1"/>
    <col min="12" max="12" width="16.7109375" style="105" customWidth="1"/>
    <col min="13" max="13" width="14.140625" style="105" bestFit="1" customWidth="1"/>
    <col min="14" max="16384" width="8" style="105"/>
  </cols>
  <sheetData>
    <row r="1" spans="2:13" ht="26.45" customHeight="1">
      <c r="B1" s="31" t="s">
        <v>282</v>
      </c>
      <c r="C1" s="102"/>
      <c r="D1" s="103"/>
    </row>
    <row r="2" spans="2:13" ht="12.95" customHeight="1">
      <c r="B2" s="33" t="s">
        <v>90</v>
      </c>
      <c r="C2" s="102"/>
      <c r="D2" s="103"/>
    </row>
    <row r="3" spans="2:13">
      <c r="B3" s="106"/>
      <c r="C3" s="107"/>
      <c r="D3" s="108"/>
      <c r="E3" s="67" t="s">
        <v>91</v>
      </c>
      <c r="F3" s="99"/>
      <c r="G3" s="108"/>
    </row>
    <row r="4" spans="2:13">
      <c r="B4" s="67" t="s">
        <v>86</v>
      </c>
      <c r="C4" s="116">
        <v>0.2</v>
      </c>
      <c r="F4" s="109">
        <f>$F$3*C4</f>
        <v>0</v>
      </c>
      <c r="H4" s="80" t="s">
        <v>232</v>
      </c>
      <c r="I4" s="81"/>
      <c r="J4" s="81"/>
      <c r="K4" s="81"/>
      <c r="L4" s="67" t="s">
        <v>91</v>
      </c>
      <c r="M4" s="99"/>
    </row>
    <row r="5" spans="2:13" ht="15">
      <c r="B5" s="106"/>
      <c r="C5" s="107"/>
      <c r="D5" s="108"/>
      <c r="E5" s="108"/>
      <c r="F5" s="110"/>
      <c r="G5" s="108"/>
      <c r="H5" s="82"/>
      <c r="I5" s="83"/>
      <c r="J5" s="84"/>
      <c r="K5" s="85"/>
      <c r="L5" s="35"/>
      <c r="M5" s="35"/>
    </row>
    <row r="6" spans="2:13" s="106" customFormat="1" ht="15">
      <c r="B6" s="111" t="s">
        <v>85</v>
      </c>
      <c r="C6" s="116">
        <v>0.05</v>
      </c>
      <c r="D6" s="112"/>
      <c r="E6" s="112"/>
      <c r="F6" s="109">
        <f t="shared" ref="F6:F69" si="0">$F$3*C6</f>
        <v>0</v>
      </c>
      <c r="G6" s="112"/>
      <c r="H6" s="86" t="s">
        <v>234</v>
      </c>
      <c r="I6" s="87" t="s">
        <v>87</v>
      </c>
      <c r="J6" s="88" t="s">
        <v>236</v>
      </c>
      <c r="K6" s="89" t="s">
        <v>235</v>
      </c>
      <c r="L6" s="35"/>
      <c r="M6" s="35"/>
    </row>
    <row r="7" spans="2:13" ht="15">
      <c r="B7" s="39" t="s">
        <v>44</v>
      </c>
      <c r="C7" s="113">
        <f>+$C$6*'Répartition Régions &amp; districts'!D5</f>
        <v>4.5808298532684063E-3</v>
      </c>
      <c r="F7" s="110">
        <f t="shared" si="0"/>
        <v>0</v>
      </c>
      <c r="H7" s="101"/>
      <c r="I7" s="91" t="str">
        <f>IFERROR(VLOOKUP(H7,$B$7:$C$19,2,0),"-")</f>
        <v>-</v>
      </c>
      <c r="J7" s="88"/>
      <c r="K7" s="88" t="str">
        <f>IFERROR(Tableau26[[#This Row],[% pop.]]*$K$20/$I$20,"-")</f>
        <v>-</v>
      </c>
      <c r="L7" s="35"/>
      <c r="M7" s="75" t="str">
        <f>IFERROR(Tableau26[[#This Row],[Clé retenue]]*$M$4,"-")</f>
        <v>-</v>
      </c>
    </row>
    <row r="8" spans="2:13" ht="15">
      <c r="B8" s="42" t="s">
        <v>51</v>
      </c>
      <c r="C8" s="113">
        <f>+$C$6*'Répartition Régions &amp; districts'!D6</f>
        <v>1.9889650643612924E-3</v>
      </c>
      <c r="F8" s="110">
        <f t="shared" si="0"/>
        <v>0</v>
      </c>
      <c r="H8" s="101"/>
      <c r="I8" s="91" t="str">
        <f t="shared" ref="I8:I19" si="1">IFERROR(VLOOKUP(H8,$B$7:$C$19,2,0),"-")</f>
        <v>-</v>
      </c>
      <c r="J8" s="35"/>
      <c r="K8" s="88" t="str">
        <f>IFERROR(Tableau26[[#This Row],[% pop.]]*$K$20/$I$20,"-")</f>
        <v>-</v>
      </c>
      <c r="L8" s="35"/>
      <c r="M8" s="75" t="str">
        <f>IFERROR(Tableau26[[#This Row],[Clé retenue]]*$M$4,"-")</f>
        <v>-</v>
      </c>
    </row>
    <row r="9" spans="2:13" ht="15">
      <c r="B9" s="42" t="s">
        <v>55</v>
      </c>
      <c r="C9" s="113">
        <f>+$C$6*'Répartition Régions &amp; districts'!D7</f>
        <v>7.5294174496624931E-3</v>
      </c>
      <c r="F9" s="110">
        <f t="shared" si="0"/>
        <v>0</v>
      </c>
      <c r="H9" s="101"/>
      <c r="I9" s="91" t="str">
        <f t="shared" si="1"/>
        <v>-</v>
      </c>
      <c r="J9" s="35"/>
      <c r="K9" s="88" t="str">
        <f>IFERROR(Tableau26[[#This Row],[% pop.]]*$K$20/$I$20,"-")</f>
        <v>-</v>
      </c>
      <c r="L9" s="35"/>
      <c r="M9" s="75" t="str">
        <f>IFERROR(Tableau26[[#This Row],[Clé retenue]]*$M$4,"-")</f>
        <v>-</v>
      </c>
    </row>
    <row r="10" spans="2:13" ht="15">
      <c r="B10" s="42" t="s">
        <v>61</v>
      </c>
      <c r="C10" s="113">
        <f>+$C$6*'Répartition Régions &amp; districts'!D8</f>
        <v>3.8318345659383427E-3</v>
      </c>
      <c r="F10" s="110">
        <f t="shared" si="0"/>
        <v>0</v>
      </c>
      <c r="H10" s="101"/>
      <c r="I10" s="91" t="str">
        <f t="shared" si="1"/>
        <v>-</v>
      </c>
      <c r="J10" s="35"/>
      <c r="K10" s="88" t="str">
        <f>IFERROR(Tableau26[[#This Row],[% pop.]]*$K$20/$I$20,"-")</f>
        <v>-</v>
      </c>
      <c r="L10" s="35"/>
      <c r="M10" s="75" t="str">
        <f>IFERROR(Tableau26[[#This Row],[Clé retenue]]*$M$4,"-")</f>
        <v>-</v>
      </c>
    </row>
    <row r="11" spans="2:13" ht="15">
      <c r="B11" s="42" t="s">
        <v>69</v>
      </c>
      <c r="C11" s="113">
        <f>+$C$6*'Répartition Régions &amp; districts'!D9</f>
        <v>4.5994893180142564E-3</v>
      </c>
      <c r="F11" s="110">
        <f t="shared" si="0"/>
        <v>0</v>
      </c>
      <c r="H11" s="101"/>
      <c r="I11" s="91" t="str">
        <f t="shared" si="1"/>
        <v>-</v>
      </c>
      <c r="J11" s="35"/>
      <c r="K11" s="88" t="str">
        <f>IFERROR(Tableau26[[#This Row],[% pop.]]*$K$20/$I$20,"-")</f>
        <v>-</v>
      </c>
      <c r="L11" s="35"/>
      <c r="M11" s="75" t="str">
        <f>IFERROR(Tableau26[[#This Row],[Clé retenue]]*$M$4,"-")</f>
        <v>-</v>
      </c>
    </row>
    <row r="12" spans="2:13" ht="15">
      <c r="B12" s="42" t="s">
        <v>76</v>
      </c>
      <c r="C12" s="113">
        <f>+$C$6*'Répartition Régions &amp; districts'!D10</f>
        <v>4.0257924784439124E-3</v>
      </c>
      <c r="F12" s="110">
        <f t="shared" si="0"/>
        <v>0</v>
      </c>
      <c r="H12" s="101"/>
      <c r="I12" s="91" t="str">
        <f t="shared" si="1"/>
        <v>-</v>
      </c>
      <c r="J12" s="35"/>
      <c r="K12" s="88" t="str">
        <f>IFERROR(Tableau26[[#This Row],[% pop.]]*$K$20/$I$20,"-")</f>
        <v>-</v>
      </c>
      <c r="L12" s="35"/>
      <c r="M12" s="75" t="str">
        <f>IFERROR(Tableau26[[#This Row],[Clé retenue]]*$M$4,"-")</f>
        <v>-</v>
      </c>
    </row>
    <row r="13" spans="2:13" ht="15">
      <c r="B13" s="42" t="s">
        <v>0</v>
      </c>
      <c r="C13" s="113">
        <f>+$C$6*'Répartition Régions &amp; districts'!D11</f>
        <v>1.8861385442380998E-3</v>
      </c>
      <c r="F13" s="110">
        <f t="shared" si="0"/>
        <v>0</v>
      </c>
      <c r="H13" s="101"/>
      <c r="I13" s="91" t="str">
        <f t="shared" si="1"/>
        <v>-</v>
      </c>
      <c r="J13" s="35"/>
      <c r="K13" s="88" t="str">
        <f>IFERROR(Tableau26[[#This Row],[% pop.]]*$K$20/$I$20,"-")</f>
        <v>-</v>
      </c>
      <c r="L13" s="35"/>
      <c r="M13" s="75" t="str">
        <f>IFERROR(Tableau26[[#This Row],[Clé retenue]]*$M$4,"-")</f>
        <v>-</v>
      </c>
    </row>
    <row r="14" spans="2:13" ht="15">
      <c r="B14" s="42" t="s">
        <v>5</v>
      </c>
      <c r="C14" s="113">
        <f>+$C$6*'Répartition Régions &amp; districts'!D12</f>
        <v>4.7806049029293128E-3</v>
      </c>
      <c r="F14" s="110">
        <f t="shared" si="0"/>
        <v>0</v>
      </c>
      <c r="H14" s="101"/>
      <c r="I14" s="91" t="str">
        <f t="shared" si="1"/>
        <v>-</v>
      </c>
      <c r="J14" s="35"/>
      <c r="K14" s="88" t="str">
        <f>IFERROR(Tableau26[[#This Row],[% pop.]]*$K$20/$I$20,"-")</f>
        <v>-</v>
      </c>
      <c r="L14" s="35"/>
      <c r="M14" s="75" t="str">
        <f>IFERROR(Tableau26[[#This Row],[Clé retenue]]*$M$4,"-")</f>
        <v>-</v>
      </c>
    </row>
    <row r="15" spans="2:13" ht="15">
      <c r="B15" s="42" t="s">
        <v>12</v>
      </c>
      <c r="C15" s="113">
        <f>+$C$6*'Répartition Régions &amp; districts'!D13</f>
        <v>5.4818572935675857E-3</v>
      </c>
      <c r="F15" s="110">
        <f t="shared" si="0"/>
        <v>0</v>
      </c>
      <c r="H15" s="101"/>
      <c r="I15" s="91" t="str">
        <f t="shared" si="1"/>
        <v>-</v>
      </c>
      <c r="J15" s="35"/>
      <c r="K15" s="88" t="str">
        <f>IFERROR(Tableau26[[#This Row],[% pop.]]*$K$20/$I$20,"-")</f>
        <v>-</v>
      </c>
      <c r="L15" s="35"/>
      <c r="M15" s="75" t="str">
        <f>IFERROR(Tableau26[[#This Row],[Clé retenue]]*$M$4,"-")</f>
        <v>-</v>
      </c>
    </row>
    <row r="16" spans="2:13" ht="15">
      <c r="B16" s="42" t="s">
        <v>21</v>
      </c>
      <c r="C16" s="113">
        <f>+$C$6*'Répartition Régions &amp; districts'!D14</f>
        <v>4.1929185359187602E-3</v>
      </c>
      <c r="F16" s="110">
        <f t="shared" si="0"/>
        <v>0</v>
      </c>
      <c r="H16" s="101"/>
      <c r="I16" s="91" t="str">
        <f t="shared" si="1"/>
        <v>-</v>
      </c>
      <c r="J16" s="35"/>
      <c r="K16" s="88" t="str">
        <f>IFERROR(Tableau26[[#This Row],[% pop.]]*$K$20/$I$20,"-")</f>
        <v>-</v>
      </c>
      <c r="L16" s="35"/>
      <c r="M16" s="75" t="str">
        <f>IFERROR(Tableau26[[#This Row],[Clé retenue]]*$M$4,"-")</f>
        <v>-</v>
      </c>
    </row>
    <row r="17" spans="2:13" ht="15">
      <c r="B17" s="42" t="s">
        <v>28</v>
      </c>
      <c r="C17" s="113">
        <f>+$C$6*'Répartition Régions &amp; districts'!D15</f>
        <v>2.374250668891889E-3</v>
      </c>
      <c r="F17" s="110">
        <f t="shared" si="0"/>
        <v>0</v>
      </c>
      <c r="H17" s="101"/>
      <c r="I17" s="91" t="str">
        <f t="shared" si="1"/>
        <v>-</v>
      </c>
      <c r="J17" s="35"/>
      <c r="K17" s="88" t="str">
        <f>IFERROR(Tableau26[[#This Row],[% pop.]]*$K$20/$I$20,"-")</f>
        <v>-</v>
      </c>
      <c r="L17" s="35"/>
      <c r="M17" s="75" t="str">
        <f>IFERROR(Tableau26[[#This Row],[Clé retenue]]*$M$4,"-")</f>
        <v>-</v>
      </c>
    </row>
    <row r="18" spans="2:13" ht="15">
      <c r="B18" s="42" t="s">
        <v>32</v>
      </c>
      <c r="C18" s="113">
        <f>+$C$6*'Répartition Régions &amp; districts'!D16</f>
        <v>2.6031542271136559E-3</v>
      </c>
      <c r="F18" s="110">
        <f t="shared" si="0"/>
        <v>0</v>
      </c>
      <c r="H18" s="101"/>
      <c r="I18" s="91" t="str">
        <f t="shared" si="1"/>
        <v>-</v>
      </c>
      <c r="J18" s="35"/>
      <c r="K18" s="88" t="str">
        <f>IFERROR(Tableau26[[#This Row],[% pop.]]*$K$20/$I$20,"-")</f>
        <v>-</v>
      </c>
      <c r="L18" s="35"/>
      <c r="M18" s="75" t="str">
        <f>IFERROR(Tableau26[[#This Row],[Clé retenue]]*$M$4,"-")</f>
        <v>-</v>
      </c>
    </row>
    <row r="19" spans="2:13" ht="15">
      <c r="B19" s="42" t="s">
        <v>37</v>
      </c>
      <c r="C19" s="113">
        <f>+$C$6*'Répartition Régions &amp; districts'!D17</f>
        <v>2.1247470976519952E-3</v>
      </c>
      <c r="F19" s="110">
        <f t="shared" si="0"/>
        <v>0</v>
      </c>
      <c r="H19" s="101"/>
      <c r="I19" s="91" t="str">
        <f t="shared" si="1"/>
        <v>-</v>
      </c>
      <c r="J19" s="35"/>
      <c r="K19" s="88" t="str">
        <f>IFERROR(Tableau26[[#This Row],[% pop.]]*$K$20/$I$20,"-")</f>
        <v>-</v>
      </c>
      <c r="L19" s="35"/>
      <c r="M19" s="75" t="str">
        <f>IFERROR(Tableau26[[#This Row],[Clé retenue]]*$M$4,"-")</f>
        <v>-</v>
      </c>
    </row>
    <row r="20" spans="2:13" ht="15">
      <c r="F20" s="110"/>
      <c r="H20" s="93" t="s">
        <v>233</v>
      </c>
      <c r="I20" s="87" cm="1">
        <f t="array" ref="I20">SUM(IF(ISERROR(I7:I19),0,I7:I19))</f>
        <v>0</v>
      </c>
      <c r="J20" s="94"/>
      <c r="K20" s="95">
        <v>1</v>
      </c>
      <c r="L20" s="35"/>
      <c r="M20" s="75">
        <f>IFERROR(Tableau26[[#This Row],[Clé retenue]]*$M$4,"-")</f>
        <v>0</v>
      </c>
    </row>
    <row r="21" spans="2:13" s="106" customFormat="1">
      <c r="B21" s="111" t="s">
        <v>89</v>
      </c>
      <c r="C21" s="116">
        <v>0.75</v>
      </c>
      <c r="D21" s="112"/>
      <c r="E21" s="112"/>
      <c r="F21" s="109">
        <f t="shared" si="0"/>
        <v>0</v>
      </c>
      <c r="G21" s="112"/>
    </row>
    <row r="22" spans="2:13">
      <c r="B22" s="72" t="s">
        <v>45</v>
      </c>
      <c r="C22" s="113">
        <f>$C$21*'Répartition Régions &amp; districts'!N5</f>
        <v>1.0815074449438734E-2</v>
      </c>
      <c r="D22" s="44"/>
      <c r="E22" s="44"/>
      <c r="F22" s="110">
        <f t="shared" si="0"/>
        <v>0</v>
      </c>
      <c r="G22" s="44"/>
      <c r="H22" s="80" t="s">
        <v>237</v>
      </c>
      <c r="I22" s="81"/>
      <c r="J22" s="81"/>
      <c r="K22" s="81"/>
      <c r="L22" s="67" t="s">
        <v>91</v>
      </c>
      <c r="M22" s="100"/>
    </row>
    <row r="23" spans="2:13" ht="15">
      <c r="B23" s="76" t="s">
        <v>46</v>
      </c>
      <c r="C23" s="113">
        <f>$C$21*'Répartition Régions &amp; districts'!N6</f>
        <v>1.4149233886868156E-2</v>
      </c>
      <c r="D23" s="44"/>
      <c r="E23" s="44"/>
      <c r="F23" s="110">
        <f t="shared" si="0"/>
        <v>0</v>
      </c>
      <c r="G23" s="44"/>
      <c r="H23" s="82"/>
      <c r="I23" s="83"/>
      <c r="J23" s="84"/>
      <c r="K23" s="85"/>
      <c r="L23" s="35"/>
      <c r="M23" s="64"/>
    </row>
    <row r="24" spans="2:13" ht="15">
      <c r="B24" s="76" t="s">
        <v>47</v>
      </c>
      <c r="C24" s="113">
        <f>$C$21*'Répartition Régions &amp; districts'!N7</f>
        <v>1.2866342157110754E-2</v>
      </c>
      <c r="D24" s="44"/>
      <c r="E24" s="44"/>
      <c r="F24" s="110">
        <f t="shared" si="0"/>
        <v>0</v>
      </c>
      <c r="G24" s="44"/>
      <c r="H24" s="86" t="s">
        <v>249</v>
      </c>
      <c r="I24" s="87" t="s">
        <v>87</v>
      </c>
      <c r="J24" s="88" t="s">
        <v>236</v>
      </c>
      <c r="K24" s="89" t="s">
        <v>235</v>
      </c>
      <c r="L24" s="35"/>
      <c r="M24" s="64"/>
    </row>
    <row r="25" spans="2:13" ht="15">
      <c r="B25" s="76" t="s">
        <v>48</v>
      </c>
      <c r="C25" s="113">
        <f>$C$21*'Répartition Régions &amp; districts'!N8</f>
        <v>1.2508862062493136E-2</v>
      </c>
      <c r="D25" s="44"/>
      <c r="E25" s="44"/>
      <c r="F25" s="110">
        <f t="shared" si="0"/>
        <v>0</v>
      </c>
      <c r="G25" s="44"/>
      <c r="H25" s="101"/>
      <c r="I25" s="91" t="str">
        <f>IFERROR(VLOOKUP(Tableau247[[#This Row],[Districts]],$B$22:$C$91,2,0),"-")</f>
        <v>-</v>
      </c>
      <c r="J25" s="88"/>
      <c r="K25" s="88" t="str">
        <f>IFERROR(Tableau247[[#This Row],[% pop.]]*$K$38/$I$38,"-")</f>
        <v>-</v>
      </c>
      <c r="L25" s="35"/>
      <c r="M25" s="98" t="str">
        <f>IFERROR(Tableau247[[#This Row],[Clé retenue]]*$M$22,"-")</f>
        <v>-</v>
      </c>
    </row>
    <row r="26" spans="2:13" ht="15">
      <c r="B26" s="76" t="s">
        <v>49</v>
      </c>
      <c r="C26" s="113">
        <f>$C$21*'Répartition Régions &amp; districts'!N9</f>
        <v>8.0951627743610713E-3</v>
      </c>
      <c r="D26" s="44"/>
      <c r="E26" s="44"/>
      <c r="F26" s="110">
        <f t="shared" si="0"/>
        <v>0</v>
      </c>
      <c r="G26" s="44"/>
      <c r="H26" s="101"/>
      <c r="I26" s="91" t="str">
        <f>IFERROR(VLOOKUP(Tableau247[[#This Row],[Districts]],$B$22:$C$91,2,0),"-")</f>
        <v>-</v>
      </c>
      <c r="J26" s="35"/>
      <c r="K26" s="88" t="str">
        <f>IFERROR(Tableau247[[#This Row],[% pop.]]*$K$38/$I$38,"-")</f>
        <v>-</v>
      </c>
      <c r="L26" s="35"/>
      <c r="M26" s="98" t="str">
        <f>IFERROR(Tableau247[[#This Row],[Clé retenue]]*$M$22,"-")</f>
        <v>-</v>
      </c>
    </row>
    <row r="27" spans="2:13" ht="15">
      <c r="B27" s="76" t="s">
        <v>50</v>
      </c>
      <c r="C27" s="113">
        <f>$C$21*'Répartition Régions &amp; districts'!N10</f>
        <v>1.0277772468754243E-2</v>
      </c>
      <c r="D27" s="44"/>
      <c r="E27" s="44"/>
      <c r="F27" s="110">
        <f t="shared" si="0"/>
        <v>0</v>
      </c>
      <c r="G27" s="44"/>
      <c r="H27" s="101"/>
      <c r="I27" s="91" t="str">
        <f>IFERROR(VLOOKUP(Tableau247[[#This Row],[Districts]],$B$22:$C$91,2,0),"-")</f>
        <v>-</v>
      </c>
      <c r="J27" s="35"/>
      <c r="K27" s="88" t="str">
        <f>IFERROR(Tableau247[[#This Row],[% pop.]]*$K$38/$I$38,"-")</f>
        <v>-</v>
      </c>
      <c r="L27" s="35"/>
      <c r="M27" s="98" t="str">
        <f>IFERROR(Tableau247[[#This Row],[Clé retenue]]*$M$22,"-")</f>
        <v>-</v>
      </c>
    </row>
    <row r="28" spans="2:13" ht="15">
      <c r="B28" s="72" t="s">
        <v>52</v>
      </c>
      <c r="C28" s="114">
        <f>$C$21*'Répartition Régions &amp; districts'!N11</f>
        <v>1.4005450754429275E-2</v>
      </c>
      <c r="D28" s="44"/>
      <c r="E28" s="44"/>
      <c r="F28" s="110">
        <f t="shared" si="0"/>
        <v>0</v>
      </c>
      <c r="G28" s="44"/>
      <c r="H28" s="101"/>
      <c r="I28" s="91" t="str">
        <f>IFERROR(VLOOKUP(Tableau247[[#This Row],[Districts]],$B$22:$C$91,2,0),"-")</f>
        <v>-</v>
      </c>
      <c r="J28" s="35"/>
      <c r="K28" s="88" t="str">
        <f>IFERROR(Tableau247[[#This Row],[% pop.]]*$K$38/$I$38,"-")</f>
        <v>-</v>
      </c>
      <c r="L28" s="35"/>
      <c r="M28" s="98" t="str">
        <f>IFERROR(Tableau247[[#This Row],[Clé retenue]]*$M$22,"-")</f>
        <v>-</v>
      </c>
    </row>
    <row r="29" spans="2:13" ht="15">
      <c r="B29" s="76" t="s">
        <v>53</v>
      </c>
      <c r="C29" s="113">
        <f>$C$21*'Répartition Régions &amp; districts'!N12</f>
        <v>9.2808580531986984E-3</v>
      </c>
      <c r="D29" s="44"/>
      <c r="E29" s="44"/>
      <c r="F29" s="110">
        <f t="shared" si="0"/>
        <v>0</v>
      </c>
      <c r="G29" s="44"/>
      <c r="H29" s="101"/>
      <c r="I29" s="91" t="str">
        <f>IFERROR(VLOOKUP(Tableau247[[#This Row],[Districts]],$B$22:$C$91,2,0),"-")</f>
        <v>-</v>
      </c>
      <c r="J29" s="35"/>
      <c r="K29" s="88" t="str">
        <f>IFERROR(Tableau247[[#This Row],[% pop.]]*$K$38/$I$38,"-")</f>
        <v>-</v>
      </c>
      <c r="L29" s="35"/>
      <c r="M29" s="98" t="str">
        <f>IFERROR(Tableau247[[#This Row],[Clé retenue]]*$M$22,"-")</f>
        <v>-</v>
      </c>
    </row>
    <row r="30" spans="2:13" ht="15">
      <c r="B30" s="76" t="s">
        <v>54</v>
      </c>
      <c r="C30" s="113">
        <f>$C$21*'Répartition Régions &amp; districts'!N13</f>
        <v>6.5481671577914116E-3</v>
      </c>
      <c r="D30" s="44"/>
      <c r="E30" s="44"/>
      <c r="F30" s="110">
        <f t="shared" si="0"/>
        <v>0</v>
      </c>
      <c r="G30" s="44"/>
      <c r="H30" s="101"/>
      <c r="I30" s="91" t="str">
        <f>IFERROR(VLOOKUP(Tableau247[[#This Row],[Districts]],$B$22:$C$91,2,0),"-")</f>
        <v>-</v>
      </c>
      <c r="J30" s="35"/>
      <c r="K30" s="88" t="str">
        <f>IFERROR(Tableau247[[#This Row],[% pop.]]*$K$38/$I$38,"-")</f>
        <v>-</v>
      </c>
      <c r="L30" s="35"/>
      <c r="M30" s="98" t="str">
        <f>IFERROR(Tableau247[[#This Row],[Clé retenue]]*$M$22,"-")</f>
        <v>-</v>
      </c>
    </row>
    <row r="31" spans="2:13" ht="15">
      <c r="B31" s="72" t="s">
        <v>56</v>
      </c>
      <c r="C31" s="114">
        <f>$C$21*'Répartition Régions &amp; districts'!N14</f>
        <v>6.1886248080412348E-3</v>
      </c>
      <c r="D31" s="44"/>
      <c r="E31" s="44"/>
      <c r="F31" s="110">
        <f t="shared" si="0"/>
        <v>0</v>
      </c>
      <c r="G31" s="44"/>
      <c r="H31" s="101"/>
      <c r="I31" s="91" t="str">
        <f>IFERROR(VLOOKUP(Tableau247[[#This Row],[Districts]],$B$22:$C$91,2,0),"-")</f>
        <v>-</v>
      </c>
      <c r="J31" s="35"/>
      <c r="K31" s="88" t="str">
        <f>IFERROR(Tableau247[[#This Row],[% pop.]]*$K$38/$I$38,"-")</f>
        <v>-</v>
      </c>
      <c r="L31" s="35"/>
      <c r="M31" s="98" t="str">
        <f>IFERROR(Tableau247[[#This Row],[Clé retenue]]*$M$22,"-")</f>
        <v>-</v>
      </c>
    </row>
    <row r="32" spans="2:13" ht="15">
      <c r="B32" s="76" t="s">
        <v>57</v>
      </c>
      <c r="C32" s="113">
        <f>$C$21*'Répartition Régions &amp; districts'!N15</f>
        <v>3.5265644605510203E-2</v>
      </c>
      <c r="D32" s="44"/>
      <c r="E32" s="44"/>
      <c r="F32" s="110">
        <f t="shared" si="0"/>
        <v>0</v>
      </c>
      <c r="G32" s="44"/>
      <c r="H32" s="101"/>
      <c r="I32" s="91" t="str">
        <f>IFERROR(VLOOKUP(Tableau247[[#This Row],[Districts]],$B$22:$C$91,2,0),"-")</f>
        <v>-</v>
      </c>
      <c r="J32" s="35"/>
      <c r="K32" s="88" t="str">
        <f>IFERROR(Tableau247[[#This Row],[% pop.]]*$K$38/$I$38,"-")</f>
        <v>-</v>
      </c>
      <c r="L32" s="35"/>
      <c r="M32" s="98" t="str">
        <f>IFERROR(Tableau247[[#This Row],[Clé retenue]]*$M$22,"-")</f>
        <v>-</v>
      </c>
    </row>
    <row r="33" spans="2:13" ht="15">
      <c r="B33" s="76" t="s">
        <v>58</v>
      </c>
      <c r="C33" s="113">
        <f>$C$21*'Répartition Régions &amp; districts'!N16</f>
        <v>3.8552946901731E-2</v>
      </c>
      <c r="D33" s="44"/>
      <c r="E33" s="44"/>
      <c r="F33" s="110">
        <f t="shared" si="0"/>
        <v>0</v>
      </c>
      <c r="G33" s="44"/>
      <c r="H33" s="101"/>
      <c r="I33" s="91" t="str">
        <f>IFERROR(VLOOKUP(Tableau247[[#This Row],[Districts]],$B$22:$C$91,2,0),"-")</f>
        <v>-</v>
      </c>
      <c r="J33" s="35"/>
      <c r="K33" s="88" t="str">
        <f>IFERROR(Tableau247[[#This Row],[% pop.]]*$K$38/$I$38,"-")</f>
        <v>-</v>
      </c>
      <c r="L33" s="35"/>
      <c r="M33" s="98" t="str">
        <f>IFERROR(Tableau247[[#This Row],[Clé retenue]]*$M$22,"-")</f>
        <v>-</v>
      </c>
    </row>
    <row r="34" spans="2:13" ht="15">
      <c r="B34" s="76" t="s">
        <v>59</v>
      </c>
      <c r="C34" s="113">
        <f>$C$21*'Répartition Régions &amp; districts'!N17</f>
        <v>1.1890185522725555E-2</v>
      </c>
      <c r="D34" s="44"/>
      <c r="E34" s="44"/>
      <c r="F34" s="110">
        <f t="shared" si="0"/>
        <v>0</v>
      </c>
      <c r="G34" s="44"/>
      <c r="H34" s="101"/>
      <c r="I34" s="91" t="str">
        <f>IFERROR(VLOOKUP(Tableau247[[#This Row],[Districts]],$B$22:$C$91,2,0),"-")</f>
        <v>-</v>
      </c>
      <c r="J34" s="35"/>
      <c r="K34" s="88" t="str">
        <f>IFERROR(Tableau247[[#This Row],[% pop.]]*$K$38/$I$38,"-")</f>
        <v>-</v>
      </c>
      <c r="L34" s="35"/>
      <c r="M34" s="98" t="str">
        <f>IFERROR(Tableau247[[#This Row],[Clé retenue]]*$M$22,"-")</f>
        <v>-</v>
      </c>
    </row>
    <row r="35" spans="2:13" ht="15">
      <c r="B35" s="76" t="s">
        <v>60</v>
      </c>
      <c r="C35" s="113">
        <f>$C$21*'Répartition Régions &amp; districts'!N18</f>
        <v>2.1043859906929412E-2</v>
      </c>
      <c r="D35" s="44"/>
      <c r="E35" s="44"/>
      <c r="F35" s="110">
        <f t="shared" si="0"/>
        <v>0</v>
      </c>
      <c r="G35" s="44"/>
      <c r="H35" s="101"/>
      <c r="I35" s="91" t="str">
        <f>IFERROR(VLOOKUP(Tableau247[[#This Row],[Districts]],$B$22:$C$91,2,0),"-")</f>
        <v>-</v>
      </c>
      <c r="J35" s="35"/>
      <c r="K35" s="88" t="str">
        <f>IFERROR(Tableau247[[#This Row],[% pop.]]*$K$38/$I$38,"-")</f>
        <v>-</v>
      </c>
      <c r="L35" s="35"/>
      <c r="M35" s="98" t="str">
        <f>IFERROR(Tableau247[[#This Row],[Clé retenue]]*$M$22,"-")</f>
        <v>-</v>
      </c>
    </row>
    <row r="36" spans="2:13" ht="15">
      <c r="B36" s="72" t="s">
        <v>62</v>
      </c>
      <c r="C36" s="114">
        <f>$C$21*'Répartition Régions &amp; districts'!N19</f>
        <v>4.9897784268008961E-3</v>
      </c>
      <c r="D36" s="44"/>
      <c r="E36" s="44"/>
      <c r="F36" s="110">
        <f t="shared" si="0"/>
        <v>0</v>
      </c>
      <c r="G36" s="44"/>
      <c r="H36" s="101"/>
      <c r="I36" s="91" t="str">
        <f>IFERROR(VLOOKUP(Tableau247[[#This Row],[Districts]],$B$22:$C$91,2,0),"-")</f>
        <v>-</v>
      </c>
      <c r="J36" s="35"/>
      <c r="K36" s="88" t="str">
        <f>IFERROR(Tableau247[[#This Row],[% pop.]]*$K$38/$I$38,"-")</f>
        <v>-</v>
      </c>
      <c r="L36" s="35"/>
      <c r="M36" s="98" t="str">
        <f>IFERROR(Tableau247[[#This Row],[Clé retenue]]*$M$22,"-")</f>
        <v>-</v>
      </c>
    </row>
    <row r="37" spans="2:13" ht="15">
      <c r="B37" s="76" t="s">
        <v>63</v>
      </c>
      <c r="C37" s="113">
        <f>$C$21*'Répartition Régions &amp; districts'!N20</f>
        <v>7.5024841722482029E-3</v>
      </c>
      <c r="D37" s="44"/>
      <c r="E37" s="44"/>
      <c r="F37" s="110">
        <f t="shared" si="0"/>
        <v>0</v>
      </c>
      <c r="G37" s="44"/>
      <c r="H37" s="101"/>
      <c r="I37" s="91" t="str">
        <f>IFERROR(VLOOKUP(Tableau247[[#This Row],[Districts]],$B$22:$C$91,2,0),"-")</f>
        <v>-</v>
      </c>
      <c r="J37" s="35"/>
      <c r="K37" s="88" t="str">
        <f>IFERROR(Tableau247[[#This Row],[% pop.]]*$K$38/$I$38,"-")</f>
        <v>-</v>
      </c>
      <c r="L37" s="35"/>
      <c r="M37" s="98" t="str">
        <f>IFERROR(Tableau247[[#This Row],[Clé retenue]]*$M$22,"-")</f>
        <v>-</v>
      </c>
    </row>
    <row r="38" spans="2:13" ht="15">
      <c r="B38" s="76" t="s">
        <v>64</v>
      </c>
      <c r="C38" s="113">
        <f>$C$21*'Répartition Régions &amp; districts'!N21</f>
        <v>9.2318372344739452E-3</v>
      </c>
      <c r="D38" s="44"/>
      <c r="E38" s="44"/>
      <c r="F38" s="110">
        <f t="shared" si="0"/>
        <v>0</v>
      </c>
      <c r="G38" s="44"/>
      <c r="H38" s="93" t="s">
        <v>238</v>
      </c>
      <c r="I38" s="87" cm="1">
        <f t="array" ref="I38">SUM(IF(ISERROR(I25:I37),0,I25:I37))</f>
        <v>0</v>
      </c>
      <c r="J38" s="94"/>
      <c r="K38" s="95">
        <v>1</v>
      </c>
      <c r="L38" s="35"/>
      <c r="M38" s="98">
        <f>IFERROR(Tableau247[[#This Row],[Clé retenue]]*$M$22,"-")</f>
        <v>0</v>
      </c>
    </row>
    <row r="39" spans="2:13">
      <c r="B39" s="76" t="s">
        <v>65</v>
      </c>
      <c r="C39" s="113">
        <f>$C$21*'Répartition Régions &amp; districts'!N22</f>
        <v>1.3193260306813077E-2</v>
      </c>
      <c r="D39" s="44"/>
      <c r="E39" s="44"/>
      <c r="F39" s="110">
        <f t="shared" si="0"/>
        <v>0</v>
      </c>
      <c r="G39" s="44"/>
    </row>
    <row r="40" spans="2:13">
      <c r="B40" s="76" t="s">
        <v>66</v>
      </c>
      <c r="C40" s="113">
        <f>$C$21*'Répartition Régions &amp; districts'!N23</f>
        <v>8.3023687039914251E-3</v>
      </c>
      <c r="D40" s="44"/>
      <c r="E40" s="44"/>
      <c r="F40" s="110">
        <f t="shared" si="0"/>
        <v>0</v>
      </c>
      <c r="G40" s="44"/>
    </row>
    <row r="41" spans="2:13">
      <c r="B41" s="76" t="s">
        <v>67</v>
      </c>
      <c r="C41" s="113">
        <f>$C$21*'Répartition Régions &amp; districts'!N24</f>
        <v>8.0328218159276595E-3</v>
      </c>
      <c r="D41" s="44"/>
      <c r="E41" s="44"/>
      <c r="F41" s="110">
        <f t="shared" si="0"/>
        <v>0</v>
      </c>
      <c r="G41" s="44"/>
    </row>
    <row r="42" spans="2:13">
      <c r="B42" s="76" t="s">
        <v>68</v>
      </c>
      <c r="C42" s="113">
        <f>$C$21*'Répartition Régions &amp; districts'!N25</f>
        <v>6.2249678288199325E-3</v>
      </c>
      <c r="D42" s="44"/>
      <c r="E42" s="44"/>
      <c r="F42" s="110">
        <f t="shared" si="0"/>
        <v>0</v>
      </c>
      <c r="G42" s="44"/>
    </row>
    <row r="43" spans="2:13">
      <c r="B43" s="72" t="s">
        <v>70</v>
      </c>
      <c r="C43" s="114">
        <f>$C$21*'Répartition Régions &amp; districts'!N26</f>
        <v>7.0954085320656113E-3</v>
      </c>
      <c r="D43" s="44"/>
      <c r="E43" s="44"/>
      <c r="F43" s="110">
        <f t="shared" si="0"/>
        <v>0</v>
      </c>
      <c r="G43" s="44"/>
    </row>
    <row r="44" spans="2:13">
      <c r="B44" s="76" t="s">
        <v>71</v>
      </c>
      <c r="C44" s="113">
        <f>$C$21*'Répartition Régions &amp; districts'!N27</f>
        <v>8.4753614828980226E-3</v>
      </c>
      <c r="D44" s="44"/>
      <c r="E44" s="44"/>
      <c r="F44" s="110">
        <f t="shared" si="0"/>
        <v>0</v>
      </c>
      <c r="G44" s="44"/>
    </row>
    <row r="45" spans="2:13">
      <c r="B45" s="76" t="s">
        <v>72</v>
      </c>
      <c r="C45" s="113">
        <f>$C$21*'Répartition Régions &amp; districts'!N28</f>
        <v>7.930926127902551E-3</v>
      </c>
      <c r="D45" s="44"/>
      <c r="E45" s="44"/>
      <c r="F45" s="110">
        <f t="shared" si="0"/>
        <v>0</v>
      </c>
      <c r="G45" s="44"/>
    </row>
    <row r="46" spans="2:13">
      <c r="B46" s="76" t="s">
        <v>73</v>
      </c>
      <c r="C46" s="113">
        <f>$C$21*'Répartition Régions &amp; districts'!N29</f>
        <v>1.7345425075183288E-2</v>
      </c>
      <c r="D46" s="44"/>
      <c r="E46" s="44"/>
      <c r="F46" s="110">
        <f t="shared" si="0"/>
        <v>0</v>
      </c>
      <c r="G46" s="44"/>
    </row>
    <row r="47" spans="2:13">
      <c r="B47" s="76" t="s">
        <v>74</v>
      </c>
      <c r="C47" s="113">
        <f>$C$21*'Répartition Régions &amp; districts'!N30</f>
        <v>1.7712134606705635E-2</v>
      </c>
      <c r="D47" s="44"/>
      <c r="E47" s="44"/>
      <c r="F47" s="110">
        <f t="shared" si="0"/>
        <v>0</v>
      </c>
      <c r="G47" s="44"/>
    </row>
    <row r="48" spans="2:13">
      <c r="B48" s="76" t="s">
        <v>75</v>
      </c>
      <c r="C48" s="113">
        <f>$C$21*'Répartition Régions &amp; districts'!N31</f>
        <v>1.0433083945458738E-2</v>
      </c>
      <c r="D48" s="44"/>
      <c r="E48" s="44"/>
      <c r="F48" s="110">
        <f t="shared" si="0"/>
        <v>0</v>
      </c>
      <c r="G48" s="44"/>
    </row>
    <row r="49" spans="2:7">
      <c r="B49" s="72" t="s">
        <v>77</v>
      </c>
      <c r="C49" s="114">
        <f>$C$21*'Répartition Régions &amp; districts'!N32</f>
        <v>1.476753854456265E-2</v>
      </c>
      <c r="D49" s="44"/>
      <c r="E49" s="44"/>
      <c r="F49" s="110">
        <f t="shared" si="0"/>
        <v>0</v>
      </c>
      <c r="G49" s="44"/>
    </row>
    <row r="50" spans="2:7">
      <c r="B50" s="76" t="s">
        <v>78</v>
      </c>
      <c r="C50" s="113">
        <f>$C$21*'Répartition Régions &amp; districts'!N33</f>
        <v>1.2449766620333917E-2</v>
      </c>
      <c r="D50" s="44"/>
      <c r="E50" s="44"/>
      <c r="F50" s="110">
        <f t="shared" si="0"/>
        <v>0</v>
      </c>
      <c r="G50" s="44"/>
    </row>
    <row r="51" spans="2:7">
      <c r="B51" s="76" t="s">
        <v>79</v>
      </c>
      <c r="C51" s="113">
        <f>$C$21*'Répartition Régions &amp; districts'!N34</f>
        <v>6.2059004207090634E-3</v>
      </c>
      <c r="D51" s="44"/>
      <c r="E51" s="44"/>
      <c r="F51" s="110">
        <f t="shared" si="0"/>
        <v>0</v>
      </c>
      <c r="G51" s="44"/>
    </row>
    <row r="52" spans="2:7">
      <c r="B52" s="76" t="s">
        <v>80</v>
      </c>
      <c r="C52" s="113">
        <f>$C$21*'Répartition Régions &amp; districts'!N35</f>
        <v>7.1955800395700556E-3</v>
      </c>
      <c r="D52" s="44"/>
      <c r="E52" s="44"/>
      <c r="F52" s="110">
        <f t="shared" si="0"/>
        <v>0</v>
      </c>
      <c r="G52" s="44"/>
    </row>
    <row r="53" spans="2:7">
      <c r="B53" s="76" t="s">
        <v>81</v>
      </c>
      <c r="C53" s="113">
        <f>$C$21*'Répartition Régions &amp; districts'!N36</f>
        <v>4.0407353762896645E-3</v>
      </c>
      <c r="D53" s="44"/>
      <c r="E53" s="44"/>
      <c r="F53" s="110">
        <f t="shared" si="0"/>
        <v>0</v>
      </c>
      <c r="G53" s="44"/>
    </row>
    <row r="54" spans="2:7">
      <c r="B54" s="76" t="s">
        <v>82</v>
      </c>
      <c r="C54" s="113">
        <f>$C$21*'Répartition Régions &amp; districts'!N37</f>
        <v>8.7732052159773879E-3</v>
      </c>
      <c r="D54" s="44"/>
      <c r="E54" s="44"/>
      <c r="F54" s="110">
        <f t="shared" si="0"/>
        <v>0</v>
      </c>
      <c r="G54" s="44"/>
    </row>
    <row r="55" spans="2:7">
      <c r="B55" s="76" t="s">
        <v>83</v>
      </c>
      <c r="C55" s="113">
        <f>$C$21*'Répartition Régions &amp; districts'!N38</f>
        <v>6.9541609592159402E-3</v>
      </c>
      <c r="D55" s="44"/>
      <c r="E55" s="44"/>
      <c r="F55" s="110">
        <f t="shared" si="0"/>
        <v>0</v>
      </c>
      <c r="G55" s="44"/>
    </row>
    <row r="56" spans="2:7">
      <c r="B56" s="72" t="s">
        <v>1</v>
      </c>
      <c r="C56" s="114">
        <f>$C$21*'Répartition Régions &amp; districts'!N39</f>
        <v>6.5122974414693674E-3</v>
      </c>
      <c r="D56" s="44"/>
      <c r="E56" s="44"/>
      <c r="F56" s="110">
        <f t="shared" si="0"/>
        <v>0</v>
      </c>
      <c r="G56" s="44"/>
    </row>
    <row r="57" spans="2:7">
      <c r="B57" s="76" t="s">
        <v>2</v>
      </c>
      <c r="C57" s="113">
        <f>$C$21*'Répartition Régions &amp; districts'!N40</f>
        <v>1.1230263880306802E-2</v>
      </c>
      <c r="D57" s="44"/>
      <c r="E57" s="44"/>
      <c r="F57" s="110">
        <f t="shared" si="0"/>
        <v>0</v>
      </c>
      <c r="G57" s="44"/>
    </row>
    <row r="58" spans="2:7">
      <c r="B58" s="76" t="s">
        <v>3</v>
      </c>
      <c r="C58" s="113">
        <f>$C$21*'Répartition Régions &amp; districts'!N41</f>
        <v>7.0339803750843156E-3</v>
      </c>
      <c r="D58" s="44"/>
      <c r="E58" s="44"/>
      <c r="F58" s="110">
        <f t="shared" si="0"/>
        <v>0</v>
      </c>
      <c r="G58" s="44"/>
    </row>
    <row r="59" spans="2:7">
      <c r="B59" s="76" t="s">
        <v>4</v>
      </c>
      <c r="C59" s="113">
        <f>$C$21*'Répartition Régions &amp; districts'!N42</f>
        <v>3.5155364667110102E-3</v>
      </c>
      <c r="D59" s="44"/>
      <c r="E59" s="44"/>
      <c r="F59" s="110">
        <f t="shared" si="0"/>
        <v>0</v>
      </c>
      <c r="G59" s="44"/>
    </row>
    <row r="60" spans="2:7">
      <c r="B60" s="72" t="s">
        <v>6</v>
      </c>
      <c r="C60" s="114">
        <f>$C$21*'Répartition Régions &amp; districts'!N43</f>
        <v>1.5567828765840147E-2</v>
      </c>
      <c r="D60" s="44"/>
      <c r="E60" s="44"/>
      <c r="F60" s="110">
        <f t="shared" si="0"/>
        <v>0</v>
      </c>
      <c r="G60" s="44"/>
    </row>
    <row r="61" spans="2:7">
      <c r="B61" s="76" t="s">
        <v>7</v>
      </c>
      <c r="C61" s="113">
        <f>$C$21*'Répartition Régions &amp; districts'!N44</f>
        <v>2.2586088671471355E-2</v>
      </c>
      <c r="D61" s="44"/>
      <c r="E61" s="44"/>
      <c r="F61" s="110">
        <f t="shared" si="0"/>
        <v>0</v>
      </c>
      <c r="G61" s="44"/>
    </row>
    <row r="62" spans="2:7">
      <c r="B62" s="76" t="s">
        <v>8</v>
      </c>
      <c r="C62" s="113">
        <f>$C$21*'Répartition Régions &amp; districts'!N45</f>
        <v>1.5935383483892233E-2</v>
      </c>
      <c r="D62" s="44"/>
      <c r="E62" s="44"/>
      <c r="F62" s="110">
        <f t="shared" si="0"/>
        <v>0</v>
      </c>
      <c r="G62" s="44"/>
    </row>
    <row r="63" spans="2:7">
      <c r="B63" s="76" t="s">
        <v>9</v>
      </c>
      <c r="C63" s="113">
        <f>$C$21*'Répartition Régions &amp; districts'!N46</f>
        <v>3.8176737473614403E-3</v>
      </c>
      <c r="D63" s="44"/>
      <c r="E63" s="44"/>
      <c r="F63" s="110">
        <f t="shared" si="0"/>
        <v>0</v>
      </c>
      <c r="G63" s="44"/>
    </row>
    <row r="64" spans="2:7">
      <c r="B64" s="76" t="s">
        <v>10</v>
      </c>
      <c r="C64" s="113">
        <f>$C$21*'Répartition Régions &amp; districts'!N47</f>
        <v>9.475791874417272E-3</v>
      </c>
      <c r="D64" s="44"/>
      <c r="E64" s="44"/>
      <c r="F64" s="110">
        <f t="shared" si="0"/>
        <v>0</v>
      </c>
      <c r="G64" s="44"/>
    </row>
    <row r="65" spans="2:7">
      <c r="B65" s="76" t="s">
        <v>11</v>
      </c>
      <c r="C65" s="113">
        <f>$C$21*'Répartition Régions &amp; districts'!N48</f>
        <v>4.326307000957247E-3</v>
      </c>
      <c r="D65" s="44"/>
      <c r="E65" s="44"/>
      <c r="F65" s="110">
        <f t="shared" si="0"/>
        <v>0</v>
      </c>
      <c r="G65" s="44"/>
    </row>
    <row r="66" spans="2:7">
      <c r="B66" s="72" t="s">
        <v>13</v>
      </c>
      <c r="C66" s="114">
        <f>$C$21*'Répartition Régions &amp; districts'!N49</f>
        <v>1.598031359981306E-2</v>
      </c>
      <c r="D66" s="44"/>
      <c r="E66" s="44"/>
      <c r="F66" s="110">
        <f t="shared" si="0"/>
        <v>0</v>
      </c>
      <c r="G66" s="44"/>
    </row>
    <row r="67" spans="2:7">
      <c r="B67" s="76" t="s">
        <v>14</v>
      </c>
      <c r="C67" s="113">
        <f>$C$21*'Répartition Régions &amp; districts'!N50</f>
        <v>8.2967904728951606E-3</v>
      </c>
      <c r="D67" s="44"/>
      <c r="E67" s="44"/>
      <c r="F67" s="110">
        <f t="shared" si="0"/>
        <v>0</v>
      </c>
      <c r="G67" s="44"/>
    </row>
    <row r="68" spans="2:7">
      <c r="B68" s="76" t="s">
        <v>15</v>
      </c>
      <c r="C68" s="113">
        <f>$C$21*'Répartition Régions &amp; districts'!N51</f>
        <v>2.424346564882468E-2</v>
      </c>
      <c r="D68" s="44"/>
      <c r="E68" s="44"/>
      <c r="F68" s="110">
        <f t="shared" si="0"/>
        <v>0</v>
      </c>
      <c r="G68" s="44"/>
    </row>
    <row r="69" spans="2:7">
      <c r="B69" s="76" t="s">
        <v>16</v>
      </c>
      <c r="C69" s="113">
        <f>$C$21*'Répartition Régions &amp; districts'!N52</f>
        <v>1.2012838991921009E-2</v>
      </c>
      <c r="D69" s="44"/>
      <c r="E69" s="44"/>
      <c r="F69" s="110">
        <f t="shared" si="0"/>
        <v>0</v>
      </c>
      <c r="G69" s="44"/>
    </row>
    <row r="70" spans="2:7">
      <c r="B70" s="76" t="s">
        <v>17</v>
      </c>
      <c r="C70" s="113">
        <f>$C$21*'Répartition Régions &amp; districts'!N53</f>
        <v>4.4287436083613879E-3</v>
      </c>
      <c r="D70" s="44"/>
      <c r="E70" s="44"/>
      <c r="F70" s="110">
        <f t="shared" ref="F70:F91" si="2">$F$3*C70</f>
        <v>0</v>
      </c>
      <c r="G70" s="44"/>
    </row>
    <row r="71" spans="2:7">
      <c r="B71" s="76" t="s">
        <v>18</v>
      </c>
      <c r="C71" s="113">
        <f>$C$21*'Répartition Régions &amp; districts'!N54</f>
        <v>2.7192355258538726E-3</v>
      </c>
      <c r="D71" s="44"/>
      <c r="E71" s="44"/>
      <c r="F71" s="110">
        <f t="shared" si="2"/>
        <v>0</v>
      </c>
      <c r="G71" s="44"/>
    </row>
    <row r="72" spans="2:7">
      <c r="B72" s="76" t="s">
        <v>19</v>
      </c>
      <c r="C72" s="113">
        <f>$C$21*'Répartition Régions &amp; districts'!N55</f>
        <v>5.4980736057848086E-3</v>
      </c>
      <c r="D72" s="44"/>
      <c r="E72" s="44"/>
      <c r="F72" s="110">
        <f t="shared" si="2"/>
        <v>0</v>
      </c>
      <c r="G72" s="44"/>
    </row>
    <row r="73" spans="2:7">
      <c r="B73" s="76" t="s">
        <v>20</v>
      </c>
      <c r="C73" s="113">
        <f>$C$21*'Répartition Régions &amp; districts'!N56</f>
        <v>9.0483979500597979E-3</v>
      </c>
      <c r="D73" s="44"/>
      <c r="E73" s="44"/>
      <c r="F73" s="110">
        <f t="shared" si="2"/>
        <v>0</v>
      </c>
      <c r="G73" s="44"/>
    </row>
    <row r="74" spans="2:7">
      <c r="B74" s="72" t="s">
        <v>22</v>
      </c>
      <c r="C74" s="114">
        <f>$C$21*'Répartition Régions &amp; districts'!N57</f>
        <v>8.7580256659033091E-3</v>
      </c>
      <c r="D74" s="44"/>
      <c r="E74" s="44"/>
      <c r="F74" s="110">
        <f t="shared" si="2"/>
        <v>0</v>
      </c>
      <c r="G74" s="44"/>
    </row>
    <row r="75" spans="2:7">
      <c r="B75" s="76" t="s">
        <v>23</v>
      </c>
      <c r="C75" s="113">
        <f>$C$21*'Répartition Régions &amp; districts'!N58</f>
        <v>1.4067419830789601E-2</v>
      </c>
      <c r="D75" s="44"/>
      <c r="E75" s="44"/>
      <c r="F75" s="110">
        <f t="shared" si="2"/>
        <v>0</v>
      </c>
      <c r="G75" s="44"/>
    </row>
    <row r="76" spans="2:7">
      <c r="B76" s="76" t="s">
        <v>24</v>
      </c>
      <c r="C76" s="113">
        <f>$C$21*'Répartition Régions &amp; districts'!N59</f>
        <v>9.2112822980707394E-3</v>
      </c>
      <c r="D76" s="44"/>
      <c r="E76" s="44"/>
      <c r="F76" s="110">
        <f t="shared" si="2"/>
        <v>0</v>
      </c>
      <c r="G76" s="44"/>
    </row>
    <row r="77" spans="2:7">
      <c r="B77" s="76" t="s">
        <v>25</v>
      </c>
      <c r="C77" s="113">
        <f>$C$21*'Répartition Régions &amp; districts'!N60</f>
        <v>6.9758653492995905E-3</v>
      </c>
      <c r="D77" s="44"/>
      <c r="E77" s="44"/>
      <c r="F77" s="110">
        <f t="shared" si="2"/>
        <v>0</v>
      </c>
      <c r="G77" s="44"/>
    </row>
    <row r="78" spans="2:7">
      <c r="B78" s="76" t="s">
        <v>26</v>
      </c>
      <c r="C78" s="113">
        <f>$C$21*'Répartition Régions &amp; districts'!N61</f>
        <v>7.2023415318079528E-3</v>
      </c>
      <c r="D78" s="44"/>
      <c r="E78" s="44"/>
      <c r="F78" s="110">
        <f t="shared" si="2"/>
        <v>0</v>
      </c>
      <c r="G78" s="44"/>
    </row>
    <row r="79" spans="2:7">
      <c r="B79" s="76" t="s">
        <v>27</v>
      </c>
      <c r="C79" s="113">
        <f>$C$21*'Répartition Régions &amp; districts'!N62</f>
        <v>1.6678843362910204E-2</v>
      </c>
      <c r="D79" s="44"/>
      <c r="E79" s="44"/>
      <c r="F79" s="110">
        <f t="shared" si="2"/>
        <v>0</v>
      </c>
      <c r="G79" s="44"/>
    </row>
    <row r="80" spans="2:7">
      <c r="B80" s="72" t="s">
        <v>29</v>
      </c>
      <c r="C80" s="114">
        <f>$C$21*'Répartition Régions &amp; districts'!N63</f>
        <v>6.5448878340560318E-3</v>
      </c>
      <c r="D80" s="44"/>
      <c r="E80" s="44"/>
      <c r="F80" s="110">
        <f t="shared" si="2"/>
        <v>0</v>
      </c>
      <c r="G80" s="44"/>
    </row>
    <row r="81" spans="2:7">
      <c r="B81" s="76" t="s">
        <v>30</v>
      </c>
      <c r="C81" s="113">
        <f>$C$21*'Répartition Régions &amp; districts'!N64</f>
        <v>1.1366812216051134E-2</v>
      </c>
      <c r="D81" s="44"/>
      <c r="E81" s="44"/>
      <c r="F81" s="110">
        <f t="shared" si="2"/>
        <v>0</v>
      </c>
      <c r="G81" s="44"/>
    </row>
    <row r="82" spans="2:7">
      <c r="B82" s="76" t="s">
        <v>31</v>
      </c>
      <c r="C82" s="113">
        <f>$C$21*'Répartition Régions &amp; districts'!N65</f>
        <v>1.7702059983271165E-2</v>
      </c>
      <c r="D82" s="44"/>
      <c r="E82" s="44"/>
      <c r="F82" s="110">
        <f t="shared" si="2"/>
        <v>0</v>
      </c>
      <c r="G82" s="44"/>
    </row>
    <row r="83" spans="2:7">
      <c r="B83" s="72" t="s">
        <v>33</v>
      </c>
      <c r="C83" s="114">
        <f>$C$21*'Répartition Régions &amp; districts'!N66</f>
        <v>1.2782026348904178E-2</v>
      </c>
      <c r="D83" s="44"/>
      <c r="E83" s="44"/>
      <c r="F83" s="110">
        <f t="shared" si="2"/>
        <v>0</v>
      </c>
      <c r="G83" s="44"/>
    </row>
    <row r="84" spans="2:7">
      <c r="B84" s="76" t="s">
        <v>34</v>
      </c>
      <c r="C84" s="113">
        <f>$C$21*'Répartition Régions &amp; districts'!N67</f>
        <v>1.4813009579862511E-2</v>
      </c>
      <c r="D84" s="44"/>
      <c r="E84" s="44"/>
      <c r="F84" s="110">
        <f t="shared" si="2"/>
        <v>0</v>
      </c>
      <c r="G84" s="44"/>
    </row>
    <row r="85" spans="2:7">
      <c r="B85" s="76" t="s">
        <v>35</v>
      </c>
      <c r="C85" s="113">
        <f>$C$21*'Répartition Régions &amp; districts'!N68</f>
        <v>5.4060158889658394E-3</v>
      </c>
      <c r="D85" s="44"/>
      <c r="E85" s="44"/>
      <c r="F85" s="110">
        <f t="shared" si="2"/>
        <v>0</v>
      </c>
      <c r="G85" s="44"/>
    </row>
    <row r="86" spans="2:7">
      <c r="B86" s="76" t="s">
        <v>36</v>
      </c>
      <c r="C86" s="113">
        <f>$C$21*'Répartition Régions &amp; districts'!N69</f>
        <v>6.0462615889723126E-3</v>
      </c>
      <c r="D86" s="44"/>
      <c r="E86" s="44"/>
      <c r="F86" s="110">
        <f t="shared" si="2"/>
        <v>0</v>
      </c>
      <c r="G86" s="44"/>
    </row>
    <row r="87" spans="2:7">
      <c r="B87" s="72" t="s">
        <v>38</v>
      </c>
      <c r="C87" s="114">
        <f>$C$21*'Répartition Régions &amp; districts'!N70</f>
        <v>3.6014412255934922E-3</v>
      </c>
      <c r="D87" s="44"/>
      <c r="E87" s="44"/>
      <c r="F87" s="110">
        <f t="shared" si="2"/>
        <v>0</v>
      </c>
      <c r="G87" s="44"/>
    </row>
    <row r="88" spans="2:7">
      <c r="B88" s="76" t="s">
        <v>39</v>
      </c>
      <c r="C88" s="113">
        <f>$C$21*'Répartition Régions &amp; districts'!N71</f>
        <v>9.6613272214251672E-3</v>
      </c>
      <c r="D88" s="44"/>
      <c r="E88" s="44"/>
      <c r="F88" s="110">
        <f t="shared" si="2"/>
        <v>0</v>
      </c>
      <c r="G88" s="44"/>
    </row>
    <row r="89" spans="2:7">
      <c r="B89" s="76" t="s">
        <v>40</v>
      </c>
      <c r="C89" s="113">
        <f>$C$21*'Répartition Régions &amp; districts'!N72</f>
        <v>5.6364137369721819E-3</v>
      </c>
      <c r="D89" s="44"/>
      <c r="E89" s="44"/>
      <c r="F89" s="110">
        <f t="shared" si="2"/>
        <v>0</v>
      </c>
      <c r="G89" s="44"/>
    </row>
    <row r="90" spans="2:7">
      <c r="B90" s="76" t="s">
        <v>41</v>
      </c>
      <c r="C90" s="113">
        <f>$C$21*'Répartition Régions &amp; districts'!N73</f>
        <v>8.74091909054143E-3</v>
      </c>
      <c r="D90" s="44"/>
      <c r="E90" s="44"/>
      <c r="F90" s="110">
        <f t="shared" si="2"/>
        <v>0</v>
      </c>
      <c r="G90" s="44"/>
    </row>
    <row r="91" spans="2:7">
      <c r="B91" s="76" t="s">
        <v>42</v>
      </c>
      <c r="C91" s="113">
        <f>$C$21*'Répartition Régions &amp; districts'!N74</f>
        <v>4.2311051902476559E-3</v>
      </c>
      <c r="D91" s="44"/>
      <c r="E91" s="44"/>
      <c r="F91" s="110">
        <f t="shared" si="2"/>
        <v>0</v>
      </c>
      <c r="G91" s="44"/>
    </row>
    <row r="92" spans="2:7">
      <c r="B92" s="115"/>
      <c r="C92" s="115"/>
    </row>
  </sheetData>
  <sheetProtection algorithmName="SHA-512" hashValue="ihslMqFRO9sQG6EwDMH3g7b24+3AJf509/w6IYrjiMS8nz6IwkJdMbOqduHYor7XthqjxLwxRDlh98bz9EsnqA==" saltValue="55f4Cx07TXxIDG0U6FkAZA==" spinCount="100000" sheet="1" objects="1" scenarios="1"/>
  <dataValidations count="2">
    <dataValidation type="list" allowBlank="1" showInputMessage="1" showErrorMessage="1" sqref="H7:H19" xr:uid="{06F87A7E-AE5F-462D-8426-65F07A38A0A7}">
      <formula1>"Boucle du Mouhoun, Cascades, Centre, Centre Est, Centre Nord, Centre Ouest, Centre Sud, Est, Hauts Bassins, Nord, Plateau Central, Sahel, Sud Ouest"</formula1>
    </dataValidation>
    <dataValidation type="list" allowBlank="1" showInputMessage="1" showErrorMessage="1" sqref="H25:H37" xr:uid="{BBB4747D-A577-4696-9283-535C0667BFF8}">
      <formula1>$B$22:$B$91</formula1>
    </dataValidation>
  </dataValidations>
  <pageMargins left="0.7" right="0.7" top="0.75" bottom="0.75" header="0.3" footer="0.3"/>
  <pageSetup paperSize="9" orientation="portrait" r:id="rId1"/>
  <ignoredErrors>
    <ignoredError sqref="I20:K24 J7:K7 J8:K19 J29:K37 J25:K25 J26:K26 J27:K27 J28:K28" calculatedColumn="1"/>
  </ignoredErrors>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3FDD-AF8D-40D6-BEB1-A21B3000B1AF}">
  <dimension ref="B2:C29"/>
  <sheetViews>
    <sheetView showGridLines="0" topLeftCell="A9" zoomScale="83" workbookViewId="0">
      <selection activeCell="C17" sqref="C17"/>
    </sheetView>
  </sheetViews>
  <sheetFormatPr baseColWidth="10" defaultRowHeight="15"/>
  <cols>
    <col min="2" max="2" width="66.7109375" bestFit="1" customWidth="1"/>
    <col min="3" max="3" width="26.140625" customWidth="1"/>
  </cols>
  <sheetData>
    <row r="2" spans="2:3" ht="35.1" customHeight="1">
      <c r="B2" s="11" t="s">
        <v>250</v>
      </c>
      <c r="C2" s="12" t="s">
        <v>251</v>
      </c>
    </row>
    <row r="3" spans="2:3" ht="17.45" customHeight="1">
      <c r="B3" s="9" t="s">
        <v>252</v>
      </c>
      <c r="C3" s="10">
        <v>2326</v>
      </c>
    </row>
    <row r="4" spans="2:3" ht="17.45" customHeight="1">
      <c r="B4" s="1" t="s">
        <v>253</v>
      </c>
      <c r="C4" s="2">
        <v>1587</v>
      </c>
    </row>
    <row r="5" spans="2:3" ht="17.45" customHeight="1">
      <c r="B5" s="1" t="s">
        <v>254</v>
      </c>
      <c r="C5" s="3">
        <v>7736</v>
      </c>
    </row>
    <row r="6" spans="2:3" ht="17.45" customHeight="1">
      <c r="B6" s="1" t="s">
        <v>255</v>
      </c>
      <c r="C6" s="2">
        <v>2095</v>
      </c>
    </row>
    <row r="7" spans="2:3" ht="17.45" customHeight="1">
      <c r="B7" s="1" t="s">
        <v>256</v>
      </c>
      <c r="C7" s="2">
        <v>1900</v>
      </c>
    </row>
    <row r="8" spans="2:3" ht="17.45" customHeight="1">
      <c r="B8" s="1" t="s">
        <v>257</v>
      </c>
      <c r="C8" s="2">
        <v>2739</v>
      </c>
    </row>
    <row r="9" spans="2:3" ht="17.45" customHeight="1">
      <c r="B9" s="1" t="s">
        <v>258</v>
      </c>
      <c r="C9" s="2">
        <v>1180</v>
      </c>
    </row>
    <row r="10" spans="2:3" ht="17.45" customHeight="1">
      <c r="B10" s="1" t="s">
        <v>259</v>
      </c>
      <c r="C10" s="2">
        <v>1910</v>
      </c>
    </row>
    <row r="11" spans="2:3" ht="17.45" customHeight="1">
      <c r="B11" s="1" t="s">
        <v>260</v>
      </c>
      <c r="C11" s="2">
        <v>3960</v>
      </c>
    </row>
    <row r="12" spans="2:3" ht="17.45" customHeight="1">
      <c r="B12" s="1" t="s">
        <v>261</v>
      </c>
      <c r="C12" s="2">
        <v>1971</v>
      </c>
    </row>
    <row r="13" spans="2:3" ht="17.45" customHeight="1">
      <c r="B13" s="1" t="s">
        <v>262</v>
      </c>
      <c r="C13" s="2">
        <v>1750</v>
      </c>
    </row>
    <row r="14" spans="2:3" ht="17.45" customHeight="1">
      <c r="B14" s="1" t="s">
        <v>263</v>
      </c>
      <c r="C14" s="2">
        <v>1180</v>
      </c>
    </row>
    <row r="15" spans="2:3" ht="17.45" customHeight="1">
      <c r="B15" s="1" t="s">
        <v>264</v>
      </c>
      <c r="C15" s="2">
        <v>1793</v>
      </c>
    </row>
    <row r="16" spans="2:3" ht="17.45" customHeight="1">
      <c r="B16" s="4" t="s">
        <v>265</v>
      </c>
      <c r="C16" s="18">
        <v>906</v>
      </c>
    </row>
    <row r="17" spans="2:3" ht="17.45" customHeight="1">
      <c r="B17" s="4" t="s">
        <v>266</v>
      </c>
      <c r="C17" s="2">
        <f>SUM(C3:C16)</f>
        <v>33033</v>
      </c>
    </row>
    <row r="18" spans="2:3" ht="17.45" customHeight="1">
      <c r="B18" s="5"/>
      <c r="C18" s="6"/>
    </row>
    <row r="19" spans="2:3" ht="17.45" customHeight="1">
      <c r="B19" s="5"/>
      <c r="C19" s="6"/>
    </row>
    <row r="20" spans="2:3" ht="17.45" customHeight="1">
      <c r="B20" s="5"/>
      <c r="C20" s="6"/>
    </row>
    <row r="21" spans="2:3" ht="35.1" customHeight="1">
      <c r="B21" s="15" t="s">
        <v>267</v>
      </c>
      <c r="C21" s="16" t="s">
        <v>251</v>
      </c>
    </row>
    <row r="22" spans="2:3" ht="17.45" customHeight="1">
      <c r="B22" s="13" t="s">
        <v>268</v>
      </c>
      <c r="C22" s="14">
        <v>53</v>
      </c>
    </row>
    <row r="23" spans="2:3" ht="17.45" customHeight="1">
      <c r="B23" s="7" t="s">
        <v>269</v>
      </c>
      <c r="C23" s="8">
        <v>16</v>
      </c>
    </row>
    <row r="24" spans="2:3" ht="17.45" customHeight="1">
      <c r="B24" s="7" t="s">
        <v>270</v>
      </c>
      <c r="C24" s="8">
        <v>383</v>
      </c>
    </row>
    <row r="25" spans="2:3" ht="17.45" customHeight="1">
      <c r="B25" s="7" t="s">
        <v>271</v>
      </c>
      <c r="C25" s="8">
        <v>136</v>
      </c>
    </row>
    <row r="26" spans="2:3" ht="17.45" customHeight="1">
      <c r="B26" s="7" t="s">
        <v>272</v>
      </c>
      <c r="C26" s="8">
        <v>60</v>
      </c>
    </row>
    <row r="27" spans="2:3" ht="17.45" customHeight="1">
      <c r="B27" s="7" t="s">
        <v>273</v>
      </c>
      <c r="C27" s="8">
        <v>113</v>
      </c>
    </row>
    <row r="28" spans="2:3" ht="17.45" customHeight="1">
      <c r="B28" s="7" t="s">
        <v>274</v>
      </c>
      <c r="C28" s="8">
        <v>145</v>
      </c>
    </row>
    <row r="29" spans="2:3" ht="17.45" customHeight="1">
      <c r="B29" s="7" t="s">
        <v>275</v>
      </c>
      <c r="C29" s="17">
        <f>SUM(C22:C28)</f>
        <v>906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7A58-853F-4AB1-A02F-0300D4692595}">
  <dimension ref="B1:G37"/>
  <sheetViews>
    <sheetView showGridLines="0" topLeftCell="A5" zoomScale="83" workbookViewId="0">
      <selection activeCell="C26" sqref="C26"/>
    </sheetView>
  </sheetViews>
  <sheetFormatPr baseColWidth="10" defaultRowHeight="15"/>
  <cols>
    <col min="1" max="1" width="3.5703125" style="35" customWidth="1"/>
    <col min="2" max="2" width="35.42578125" style="35" customWidth="1"/>
    <col min="3" max="3" width="13.85546875" style="35" customWidth="1"/>
    <col min="4" max="4" width="12" style="35" customWidth="1"/>
    <col min="5" max="5" width="10.7109375" style="35" bestFit="1" customWidth="1"/>
    <col min="6" max="6" width="16.7109375" style="35" customWidth="1"/>
    <col min="7" max="7" width="19.28515625" style="35" bestFit="1" customWidth="1"/>
    <col min="8" max="16384" width="11.42578125" style="35"/>
  </cols>
  <sheetData>
    <row r="1" spans="2:7" ht="34.5" customHeight="1">
      <c r="B1" s="117" t="s">
        <v>277</v>
      </c>
      <c r="C1" s="32"/>
      <c r="D1" s="32"/>
    </row>
    <row r="2" spans="2:7">
      <c r="B2" s="33" t="s">
        <v>276</v>
      </c>
      <c r="C2" s="32"/>
      <c r="D2" s="32"/>
    </row>
    <row r="3" spans="2:7">
      <c r="B3" s="34"/>
      <c r="F3" s="67" t="s">
        <v>91</v>
      </c>
      <c r="G3" s="99"/>
    </row>
    <row r="4" spans="2:7" ht="51">
      <c r="B4" s="36" t="s">
        <v>94</v>
      </c>
      <c r="C4" s="37" t="s">
        <v>43</v>
      </c>
      <c r="D4" s="118" t="s">
        <v>168</v>
      </c>
      <c r="G4" s="69"/>
    </row>
    <row r="5" spans="2:7">
      <c r="B5" s="72" t="s">
        <v>44</v>
      </c>
      <c r="C5" s="184">
        <v>2326</v>
      </c>
      <c r="D5" s="78">
        <f>C5/$C$19</f>
        <v>7.0414434050797683E-2</v>
      </c>
      <c r="G5" s="70">
        <f>$G$3*D5</f>
        <v>0</v>
      </c>
    </row>
    <row r="6" spans="2:7">
      <c r="B6" s="76" t="s">
        <v>51</v>
      </c>
      <c r="C6" s="119">
        <v>1587</v>
      </c>
      <c r="D6" s="78">
        <f t="shared" ref="D6:D19" si="0">C6/$C$19</f>
        <v>4.8042866224684407E-2</v>
      </c>
      <c r="G6" s="70">
        <f t="shared" ref="G6:G19" si="1">$G$3*D6</f>
        <v>0</v>
      </c>
    </row>
    <row r="7" spans="2:7">
      <c r="B7" s="76" t="s">
        <v>55</v>
      </c>
      <c r="C7" s="120">
        <v>7736</v>
      </c>
      <c r="D7" s="78">
        <f t="shared" si="0"/>
        <v>0.23419005237187054</v>
      </c>
      <c r="G7" s="70">
        <f t="shared" si="1"/>
        <v>0</v>
      </c>
    </row>
    <row r="8" spans="2:7">
      <c r="B8" s="76" t="s">
        <v>61</v>
      </c>
      <c r="C8" s="119">
        <v>2095</v>
      </c>
      <c r="D8" s="78">
        <f t="shared" si="0"/>
        <v>6.3421427057790691E-2</v>
      </c>
      <c r="G8" s="70">
        <f t="shared" si="1"/>
        <v>0</v>
      </c>
    </row>
    <row r="9" spans="2:7">
      <c r="B9" s="76" t="s">
        <v>69</v>
      </c>
      <c r="C9" s="119">
        <v>1900</v>
      </c>
      <c r="D9" s="78">
        <f t="shared" si="0"/>
        <v>5.7518239336421154E-2</v>
      </c>
      <c r="G9" s="70">
        <f t="shared" si="1"/>
        <v>0</v>
      </c>
    </row>
    <row r="10" spans="2:7">
      <c r="B10" s="76" t="s">
        <v>76</v>
      </c>
      <c r="C10" s="119">
        <v>2739</v>
      </c>
      <c r="D10" s="78">
        <f t="shared" si="0"/>
        <v>8.2917082917082913E-2</v>
      </c>
      <c r="G10" s="70">
        <f t="shared" si="1"/>
        <v>0</v>
      </c>
    </row>
    <row r="11" spans="2:7">
      <c r="B11" s="76" t="s">
        <v>0</v>
      </c>
      <c r="C11" s="119">
        <v>1180</v>
      </c>
      <c r="D11" s="78">
        <f t="shared" si="0"/>
        <v>3.5721853903672086E-2</v>
      </c>
      <c r="G11" s="70">
        <f t="shared" si="1"/>
        <v>0</v>
      </c>
    </row>
    <row r="12" spans="2:7">
      <c r="B12" s="76" t="s">
        <v>5</v>
      </c>
      <c r="C12" s="119">
        <v>1910</v>
      </c>
      <c r="D12" s="78">
        <f t="shared" si="0"/>
        <v>5.7820966911876E-2</v>
      </c>
      <c r="G12" s="70">
        <f t="shared" si="1"/>
        <v>0</v>
      </c>
    </row>
    <row r="13" spans="2:7">
      <c r="B13" s="76" t="s">
        <v>12</v>
      </c>
      <c r="C13" s="119">
        <v>3960</v>
      </c>
      <c r="D13" s="78">
        <f t="shared" si="0"/>
        <v>0.11988011988011989</v>
      </c>
      <c r="G13" s="70">
        <f t="shared" si="1"/>
        <v>0</v>
      </c>
    </row>
    <row r="14" spans="2:7">
      <c r="B14" s="76" t="s">
        <v>21</v>
      </c>
      <c r="C14" s="119">
        <v>1971</v>
      </c>
      <c r="D14" s="78">
        <f t="shared" si="0"/>
        <v>5.966760512215058E-2</v>
      </c>
      <c r="G14" s="70">
        <f t="shared" si="1"/>
        <v>0</v>
      </c>
    </row>
    <row r="15" spans="2:7">
      <c r="B15" s="76" t="s">
        <v>28</v>
      </c>
      <c r="C15" s="119">
        <v>1750</v>
      </c>
      <c r="D15" s="78">
        <f t="shared" si="0"/>
        <v>5.2977325704598434E-2</v>
      </c>
      <c r="G15" s="70">
        <f>$G$3*D15</f>
        <v>0</v>
      </c>
    </row>
    <row r="16" spans="2:7">
      <c r="B16" s="76" t="s">
        <v>32</v>
      </c>
      <c r="C16" s="119">
        <v>1180</v>
      </c>
      <c r="D16" s="78">
        <f t="shared" si="0"/>
        <v>3.5721853903672086E-2</v>
      </c>
      <c r="G16" s="70">
        <f t="shared" si="1"/>
        <v>0</v>
      </c>
    </row>
    <row r="17" spans="2:7">
      <c r="B17" s="76" t="s">
        <v>37</v>
      </c>
      <c r="C17" s="119">
        <v>1793</v>
      </c>
      <c r="D17" s="78">
        <f t="shared" si="0"/>
        <v>5.427905427905428E-2</v>
      </c>
      <c r="G17" s="70">
        <f t="shared" si="1"/>
        <v>0</v>
      </c>
    </row>
    <row r="18" spans="2:7">
      <c r="B18" s="121" t="s">
        <v>278</v>
      </c>
      <c r="C18" s="119">
        <v>906</v>
      </c>
      <c r="D18" s="78">
        <f t="shared" si="0"/>
        <v>2.7427118336209245E-2</v>
      </c>
      <c r="G18" s="70"/>
    </row>
    <row r="19" spans="2:7">
      <c r="B19" s="45" t="s">
        <v>88</v>
      </c>
      <c r="C19" s="46">
        <f>SUM(C5:C18)</f>
        <v>33033</v>
      </c>
      <c r="D19" s="47">
        <f t="shared" si="0"/>
        <v>1</v>
      </c>
      <c r="G19" s="79">
        <f t="shared" si="1"/>
        <v>0</v>
      </c>
    </row>
    <row r="21" spans="2:7">
      <c r="B21" s="80" t="s">
        <v>239</v>
      </c>
      <c r="C21" s="81"/>
      <c r="D21" s="81"/>
      <c r="E21" s="81"/>
      <c r="F21" s="67" t="s">
        <v>91</v>
      </c>
      <c r="G21" s="99"/>
    </row>
    <row r="22" spans="2:7">
      <c r="B22" s="82"/>
      <c r="C22" s="83"/>
      <c r="D22" s="84"/>
      <c r="E22" s="85"/>
    </row>
    <row r="23" spans="2:7">
      <c r="B23" s="86" t="s">
        <v>234</v>
      </c>
      <c r="C23" s="87" t="s">
        <v>87</v>
      </c>
      <c r="D23" s="88" t="s">
        <v>236</v>
      </c>
      <c r="E23" s="89" t="s">
        <v>235</v>
      </c>
    </row>
    <row r="24" spans="2:7">
      <c r="B24" s="101"/>
      <c r="C24" s="91" t="str">
        <f>IFERROR(VLOOKUP(Tableau268[[#This Row],[Régions]],$B$5:$D$18,3,0),"-")</f>
        <v>-</v>
      </c>
      <c r="D24" s="88"/>
      <c r="E24" s="88" t="str">
        <f>IFERROR(Tableau268[[#This Row],[% pop.]]*$E$37/$C$37,"-")</f>
        <v>-</v>
      </c>
      <c r="G24" s="75" t="str">
        <f>IFERROR(Tableau268[[#This Row],[Clé retenue]]*$G$21,"-")</f>
        <v>-</v>
      </c>
    </row>
    <row r="25" spans="2:7">
      <c r="B25" s="101"/>
      <c r="C25" s="91" t="str">
        <f>IFERROR(VLOOKUP(Tableau268[[#This Row],[Régions]],$B$5:$D$18,3,0),"-")</f>
        <v>-</v>
      </c>
      <c r="E25" s="88" t="str">
        <f>IFERROR(Tableau268[[#This Row],[% pop.]]*$E$37/$C$37,"-")</f>
        <v>-</v>
      </c>
      <c r="G25" s="75" t="str">
        <f>IFERROR(Tableau268[[#This Row],[Clé retenue]]*$G$21,"-")</f>
        <v>-</v>
      </c>
    </row>
    <row r="26" spans="2:7">
      <c r="B26" s="101"/>
      <c r="C26" s="91" t="str">
        <f>IFERROR(VLOOKUP(Tableau268[[#This Row],[Régions]],$B$5:$D$18,3,0),"-")</f>
        <v>-</v>
      </c>
      <c r="E26" s="88" t="str">
        <f>IFERROR(Tableau268[[#This Row],[% pop.]]*$E$37/$C$37,"-")</f>
        <v>-</v>
      </c>
      <c r="G26" s="75" t="str">
        <f>IFERROR(Tableau268[[#This Row],[Clé retenue]]*$G$21,"-")</f>
        <v>-</v>
      </c>
    </row>
    <row r="27" spans="2:7">
      <c r="B27" s="101"/>
      <c r="C27" s="91" t="str">
        <f>IFERROR(VLOOKUP(Tableau268[[#This Row],[Régions]],$B$5:$D$18,3,0),"-")</f>
        <v>-</v>
      </c>
      <c r="E27" s="88" t="str">
        <f>IFERROR(Tableau268[[#This Row],[% pop.]]*$E$37/$C$37,"-")</f>
        <v>-</v>
      </c>
      <c r="G27" s="75" t="str">
        <f>IFERROR(Tableau268[[#This Row],[Clé retenue]]*$G$21,"-")</f>
        <v>-</v>
      </c>
    </row>
    <row r="28" spans="2:7">
      <c r="B28" s="101"/>
      <c r="C28" s="91" t="str">
        <f>IFERROR(VLOOKUP(Tableau268[[#This Row],[Régions]],$B$5:$D$18,3,0),"-")</f>
        <v>-</v>
      </c>
      <c r="E28" s="88" t="str">
        <f>IFERROR(Tableau268[[#This Row],[% pop.]]*$E$37/$C$37,"-")</f>
        <v>-</v>
      </c>
      <c r="G28" s="75" t="str">
        <f>IFERROR(Tableau268[[#This Row],[Clé retenue]]*$G$21,"-")</f>
        <v>-</v>
      </c>
    </row>
    <row r="29" spans="2:7">
      <c r="B29" s="101"/>
      <c r="C29" s="91" t="str">
        <f>IFERROR(VLOOKUP(Tableau268[[#This Row],[Régions]],$B$5:$D$18,3,0),"-")</f>
        <v>-</v>
      </c>
      <c r="E29" s="88" t="str">
        <f>IFERROR(Tableau268[[#This Row],[% pop.]]*$E$37/$C$37,"-")</f>
        <v>-</v>
      </c>
      <c r="G29" s="75" t="str">
        <f>IFERROR(Tableau268[[#This Row],[Clé retenue]]*$G$21,"-")</f>
        <v>-</v>
      </c>
    </row>
    <row r="30" spans="2:7">
      <c r="B30" s="101"/>
      <c r="C30" s="91" t="str">
        <f>IFERROR(VLOOKUP(Tableau268[[#This Row],[Régions]],$B$5:$D$18,3,0),"-")</f>
        <v>-</v>
      </c>
      <c r="E30" s="88" t="str">
        <f>IFERROR(Tableau268[[#This Row],[% pop.]]*$E$37/$C$37,"-")</f>
        <v>-</v>
      </c>
      <c r="G30" s="75" t="str">
        <f>IFERROR(Tableau268[[#This Row],[Clé retenue]]*$G$21,"-")</f>
        <v>-</v>
      </c>
    </row>
    <row r="31" spans="2:7">
      <c r="B31" s="101"/>
      <c r="C31" s="91" t="str">
        <f>IFERROR(VLOOKUP(Tableau268[[#This Row],[Régions]],$B$5:$D$18,3,0),"-")</f>
        <v>-</v>
      </c>
      <c r="E31" s="88" t="str">
        <f>IFERROR(Tableau268[[#This Row],[% pop.]]*$E$37/$C$37,"-")</f>
        <v>-</v>
      </c>
      <c r="G31" s="75" t="str">
        <f>IFERROR(Tableau268[[#This Row],[Clé retenue]]*$G$21,"-")</f>
        <v>-</v>
      </c>
    </row>
    <row r="32" spans="2:7">
      <c r="B32" s="101"/>
      <c r="C32" s="91" t="str">
        <f>IFERROR(VLOOKUP(Tableau268[[#This Row],[Régions]],$B$5:$D$18,3,0),"-")</f>
        <v>-</v>
      </c>
      <c r="E32" s="88" t="str">
        <f>IFERROR(Tableau268[[#This Row],[% pop.]]*$E$37/$C$37,"-")</f>
        <v>-</v>
      </c>
      <c r="G32" s="75" t="str">
        <f>IFERROR(Tableau268[[#This Row],[Clé retenue]]*$G$21,"-")</f>
        <v>-</v>
      </c>
    </row>
    <row r="33" spans="2:7">
      <c r="B33" s="101"/>
      <c r="C33" s="91" t="str">
        <f>IFERROR(VLOOKUP(Tableau268[[#This Row],[Régions]],$B$5:$D$18,3,0),"-")</f>
        <v>-</v>
      </c>
      <c r="E33" s="88" t="str">
        <f>IFERROR(Tableau268[[#This Row],[% pop.]]*$E$37/$C$37,"-")</f>
        <v>-</v>
      </c>
      <c r="G33" s="75" t="str">
        <f>IFERROR(Tableau268[[#This Row],[Clé retenue]]*$G$21,"-")</f>
        <v>-</v>
      </c>
    </row>
    <row r="34" spans="2:7">
      <c r="B34" s="101"/>
      <c r="C34" s="91" t="str">
        <f>IFERROR(VLOOKUP(Tableau268[[#This Row],[Régions]],$B$5:$D$18,3,0),"-")</f>
        <v>-</v>
      </c>
      <c r="E34" s="88" t="str">
        <f>IFERROR(Tableau268[[#This Row],[% pop.]]*$E$37/$C$37,"-")</f>
        <v>-</v>
      </c>
      <c r="G34" s="75" t="str">
        <f>IFERROR(Tableau268[[#This Row],[Clé retenue]]*$G$21,"-")</f>
        <v>-</v>
      </c>
    </row>
    <row r="35" spans="2:7">
      <c r="B35" s="101"/>
      <c r="C35" s="91" t="str">
        <f>IFERROR(VLOOKUP(Tableau268[[#This Row],[Régions]],$B$5:$D$18,3,0),"-")</f>
        <v>-</v>
      </c>
      <c r="E35" s="88" t="str">
        <f>IFERROR(Tableau268[[#This Row],[% pop.]]*$E$37/$C$37,"-")</f>
        <v>-</v>
      </c>
      <c r="G35" s="75" t="str">
        <f>IFERROR(Tableau268[[#This Row],[Clé retenue]]*$G$21,"-")</f>
        <v>-</v>
      </c>
    </row>
    <row r="36" spans="2:7">
      <c r="B36" s="101"/>
      <c r="C36" s="91" t="str">
        <f>IFERROR(VLOOKUP(Tableau268[[#This Row],[Régions]],$B$5:$D$18,3,0),"-")</f>
        <v>-</v>
      </c>
      <c r="E36" s="88" t="str">
        <f>IFERROR(Tableau268[[#This Row],[% pop.]]*$E$37/$C$37,"-")</f>
        <v>-</v>
      </c>
      <c r="G36" s="75" t="str">
        <f>IFERROR(Tableau268[[#This Row],[Clé retenue]]*$G$21,"-")</f>
        <v>-</v>
      </c>
    </row>
    <row r="37" spans="2:7">
      <c r="B37" s="93" t="s">
        <v>233</v>
      </c>
      <c r="C37" s="87" cm="1">
        <f t="array" ref="C37">SUM(IF(ISERROR(C24:C36),0,C24:C36))</f>
        <v>0</v>
      </c>
      <c r="D37" s="94"/>
      <c r="E37" s="95">
        <v>1</v>
      </c>
      <c r="G37" s="75">
        <f>IFERROR(Tableau268[[#This Row],[Clé retenue]]*$G$21,"-")</f>
        <v>0</v>
      </c>
    </row>
  </sheetData>
  <sheetProtection algorithmName="SHA-512" hashValue="KUrOqBgkTyCvtKwtiiLY9qU8zuYGB4xyNmURk8ze06BBIk32vWv0/NBz0xTP+6cJcd0nZBYRKKjxHlhBeXGbPQ==" saltValue="u6dmAK4cNLt4XE1YSTad+Q==" spinCount="100000" sheet="1" objects="1" scenarios="1"/>
  <dataValidations count="3">
    <dataValidation type="list" allowBlank="1" showInputMessage="1" showErrorMessage="1" sqref="B24:B36" xr:uid="{6DD2283E-E34B-4066-AB6E-16D38C6ECE1B}">
      <formula1>$B$5:$B$18</formula1>
    </dataValidation>
    <dataValidation type="decimal" allowBlank="1" showInputMessage="1" showErrorMessage="1" sqref="G3" xr:uid="{43FBB630-B05D-4E6E-AA37-78382C002AE0}">
      <formula1>0</formula1>
      <formula2>1E+53</formula2>
    </dataValidation>
    <dataValidation type="decimal" allowBlank="1" showInputMessage="1" showErrorMessage="1" sqref="G21" xr:uid="{F0AE8B2E-E20D-4F5E-BF62-5B73CE9AE04E}">
      <formula1>0</formula1>
      <formula2>1E+46</formula2>
    </dataValidation>
  </dataValidations>
  <pageMargins left="0.7" right="0.7" top="0.75" bottom="0.75" header="0.3" footer="0.3"/>
  <ignoredErrors>
    <ignoredError sqref="E24:E36" calculatedColumn="1"/>
  </ignoredErrors>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BD68-C867-4442-93CD-02467D9F27FE}">
  <dimension ref="A1:E187"/>
  <sheetViews>
    <sheetView showGridLines="0" topLeftCell="A78" workbookViewId="0">
      <selection activeCell="C175" sqref="C175"/>
    </sheetView>
  </sheetViews>
  <sheetFormatPr baseColWidth="10" defaultRowHeight="15" outlineLevelRow="2"/>
  <cols>
    <col min="2" max="2" width="16.28515625" customWidth="1"/>
    <col min="3" max="3" width="59.140625" customWidth="1"/>
    <col min="5" max="5" width="18.140625" bestFit="1" customWidth="1"/>
  </cols>
  <sheetData>
    <row r="1" spans="1:5" ht="15.75" thickBot="1">
      <c r="A1" s="19" t="s">
        <v>95</v>
      </c>
      <c r="B1" s="20" t="s">
        <v>96</v>
      </c>
      <c r="C1" s="20" t="s">
        <v>97</v>
      </c>
      <c r="D1" s="20" t="s">
        <v>98</v>
      </c>
      <c r="E1" s="20" t="s">
        <v>91</v>
      </c>
    </row>
    <row r="2" spans="1:5" ht="15.75" outlineLevel="2" thickTop="1">
      <c r="A2" s="21" t="s">
        <v>99</v>
      </c>
      <c r="B2" s="22" t="s">
        <v>100</v>
      </c>
      <c r="C2" s="22" t="s">
        <v>101</v>
      </c>
      <c r="D2" s="22">
        <v>2021</v>
      </c>
      <c r="E2" s="23">
        <v>8209886328.73423</v>
      </c>
    </row>
    <row r="3" spans="1:5" outlineLevel="2">
      <c r="A3" s="24" t="s">
        <v>102</v>
      </c>
      <c r="B3" s="25" t="s">
        <v>100</v>
      </c>
      <c r="C3" s="25" t="s">
        <v>103</v>
      </c>
      <c r="D3" s="25">
        <v>2021</v>
      </c>
      <c r="E3" s="26">
        <v>544599940.99178004</v>
      </c>
    </row>
    <row r="4" spans="1:5" outlineLevel="2">
      <c r="A4" s="24" t="s">
        <v>104</v>
      </c>
      <c r="B4" s="25" t="s">
        <v>100</v>
      </c>
      <c r="C4" s="25" t="s">
        <v>105</v>
      </c>
      <c r="D4" s="25">
        <v>2021</v>
      </c>
      <c r="E4" s="26">
        <v>163729586463.3338</v>
      </c>
    </row>
    <row r="5" spans="1:5" outlineLevel="2">
      <c r="A5" s="24" t="s">
        <v>106</v>
      </c>
      <c r="B5" s="25" t="s">
        <v>100</v>
      </c>
      <c r="C5" s="25" t="s">
        <v>107</v>
      </c>
      <c r="D5" s="25">
        <v>2021</v>
      </c>
      <c r="E5" s="26">
        <v>279463491.18273002</v>
      </c>
    </row>
    <row r="6" spans="1:5" outlineLevel="2">
      <c r="A6" s="24" t="s">
        <v>108</v>
      </c>
      <c r="B6" s="25" t="s">
        <v>100</v>
      </c>
      <c r="C6" s="25" t="s">
        <v>109</v>
      </c>
      <c r="D6" s="25">
        <v>2021</v>
      </c>
      <c r="E6" s="26">
        <v>95528354.836840004</v>
      </c>
    </row>
    <row r="7" spans="1:5" outlineLevel="2">
      <c r="A7" s="24" t="s">
        <v>110</v>
      </c>
      <c r="B7" s="25" t="s">
        <v>100</v>
      </c>
      <c r="C7" s="25" t="s">
        <v>111</v>
      </c>
      <c r="D7" s="25">
        <v>2021</v>
      </c>
      <c r="E7" s="26">
        <v>6576659651.9146099</v>
      </c>
    </row>
    <row r="8" spans="1:5" outlineLevel="2">
      <c r="A8" s="24" t="s">
        <v>112</v>
      </c>
      <c r="B8" s="25" t="s">
        <v>100</v>
      </c>
      <c r="C8" s="25" t="s">
        <v>113</v>
      </c>
      <c r="D8" s="25">
        <v>2021</v>
      </c>
      <c r="E8" s="26">
        <v>2311687245.5581799</v>
      </c>
    </row>
    <row r="9" spans="1:5" outlineLevel="2">
      <c r="A9" s="24" t="s">
        <v>114</v>
      </c>
      <c r="B9" s="25" t="s">
        <v>100</v>
      </c>
      <c r="C9" s="25" t="s">
        <v>115</v>
      </c>
      <c r="D9" s="25">
        <v>2021</v>
      </c>
      <c r="E9" s="26">
        <v>8242908452.2110701</v>
      </c>
    </row>
    <row r="10" spans="1:5" outlineLevel="1">
      <c r="A10" s="24"/>
      <c r="B10" s="27" t="s">
        <v>169</v>
      </c>
      <c r="C10" s="25"/>
      <c r="D10" s="25">
        <v>2021</v>
      </c>
      <c r="E10" s="26">
        <f>SUBTOTAL(9,E2:E9)</f>
        <v>189990319928.76324</v>
      </c>
    </row>
    <row r="11" spans="1:5" outlineLevel="2">
      <c r="A11" s="24" t="s">
        <v>116</v>
      </c>
      <c r="B11" s="25" t="s">
        <v>117</v>
      </c>
      <c r="C11" s="25" t="s">
        <v>118</v>
      </c>
      <c r="D11" s="25">
        <v>2021</v>
      </c>
      <c r="E11" s="26">
        <v>8271298953.8863811</v>
      </c>
    </row>
    <row r="12" spans="1:5" outlineLevel="2">
      <c r="A12" s="24" t="s">
        <v>119</v>
      </c>
      <c r="B12" s="25" t="s">
        <v>117</v>
      </c>
      <c r="C12" s="25" t="s">
        <v>120</v>
      </c>
      <c r="D12" s="25">
        <v>2021</v>
      </c>
      <c r="E12" s="26">
        <v>90345948299.590683</v>
      </c>
    </row>
    <row r="13" spans="1:5" outlineLevel="1">
      <c r="A13" s="24"/>
      <c r="B13" s="28" t="s">
        <v>170</v>
      </c>
      <c r="C13" s="25"/>
      <c r="D13" s="25">
        <v>2021</v>
      </c>
      <c r="E13" s="26">
        <f>SUBTOTAL(9,E11:E12)</f>
        <v>98617247253.477066</v>
      </c>
    </row>
    <row r="14" spans="1:5" outlineLevel="2">
      <c r="A14" s="24" t="s">
        <v>121</v>
      </c>
      <c r="B14" s="25" t="s">
        <v>122</v>
      </c>
      <c r="C14" s="25" t="s">
        <v>123</v>
      </c>
      <c r="D14" s="25">
        <v>2021</v>
      </c>
      <c r="E14" s="26">
        <v>60399697364.771751</v>
      </c>
    </row>
    <row r="15" spans="1:5" outlineLevel="2">
      <c r="A15" s="24" t="s">
        <v>124</v>
      </c>
      <c r="B15" s="25" t="s">
        <v>122</v>
      </c>
      <c r="C15" s="25" t="s">
        <v>125</v>
      </c>
      <c r="D15" s="25">
        <v>2021</v>
      </c>
      <c r="E15" s="26">
        <v>6623860524.8118601</v>
      </c>
    </row>
    <row r="16" spans="1:5" outlineLevel="2">
      <c r="A16" s="24" t="s">
        <v>126</v>
      </c>
      <c r="B16" s="25" t="s">
        <v>122</v>
      </c>
      <c r="C16" s="25" t="s">
        <v>127</v>
      </c>
      <c r="D16" s="25">
        <v>2021</v>
      </c>
      <c r="E16" s="26">
        <v>74399145309.480011</v>
      </c>
    </row>
    <row r="17" spans="1:5" outlineLevel="2">
      <c r="A17" s="24" t="s">
        <v>128</v>
      </c>
      <c r="B17" s="25" t="s">
        <v>122</v>
      </c>
      <c r="C17" s="25" t="s">
        <v>129</v>
      </c>
      <c r="D17" s="25">
        <v>2021</v>
      </c>
      <c r="E17" s="26">
        <v>4131222267.6371799</v>
      </c>
    </row>
    <row r="18" spans="1:5" outlineLevel="2">
      <c r="A18" s="24" t="s">
        <v>130</v>
      </c>
      <c r="B18" s="25" t="s">
        <v>122</v>
      </c>
      <c r="C18" s="25" t="s">
        <v>131</v>
      </c>
      <c r="D18" s="25">
        <v>2021</v>
      </c>
      <c r="E18" s="26">
        <v>66425753496.958298</v>
      </c>
    </row>
    <row r="19" spans="1:5" outlineLevel="2">
      <c r="A19" s="24" t="s">
        <v>132</v>
      </c>
      <c r="B19" s="25" t="s">
        <v>122</v>
      </c>
      <c r="C19" s="25" t="s">
        <v>133</v>
      </c>
      <c r="D19" s="25">
        <v>2021</v>
      </c>
      <c r="E19" s="26">
        <v>68734997.795829996</v>
      </c>
    </row>
    <row r="20" spans="1:5" outlineLevel="2">
      <c r="A20" s="24" t="s">
        <v>134</v>
      </c>
      <c r="B20" s="25" t="s">
        <v>122</v>
      </c>
      <c r="C20" s="25" t="s">
        <v>135</v>
      </c>
      <c r="D20" s="25">
        <v>2021</v>
      </c>
      <c r="E20" s="26">
        <v>18496901914.260201</v>
      </c>
    </row>
    <row r="21" spans="1:5" outlineLevel="2">
      <c r="A21" s="24" t="s">
        <v>136</v>
      </c>
      <c r="B21" s="25" t="s">
        <v>122</v>
      </c>
      <c r="C21" s="25" t="s">
        <v>137</v>
      </c>
      <c r="D21" s="25">
        <v>2021</v>
      </c>
      <c r="E21" s="26">
        <v>4675585471.4786301</v>
      </c>
    </row>
    <row r="22" spans="1:5" outlineLevel="2">
      <c r="A22" s="24" t="s">
        <v>138</v>
      </c>
      <c r="B22" s="25" t="s">
        <v>122</v>
      </c>
      <c r="C22" s="25" t="s">
        <v>139</v>
      </c>
      <c r="D22" s="25">
        <v>2021</v>
      </c>
      <c r="E22" s="26">
        <v>1594300766.5701101</v>
      </c>
    </row>
    <row r="23" spans="1:5" outlineLevel="2">
      <c r="A23" s="24" t="s">
        <v>140</v>
      </c>
      <c r="B23" s="25" t="s">
        <v>122</v>
      </c>
      <c r="C23" s="25" t="s">
        <v>141</v>
      </c>
      <c r="D23" s="25">
        <v>2021</v>
      </c>
      <c r="E23" s="26">
        <v>122290679.6304</v>
      </c>
    </row>
    <row r="24" spans="1:5" outlineLevel="2">
      <c r="A24" s="24" t="s">
        <v>142</v>
      </c>
      <c r="B24" s="25" t="s">
        <v>122</v>
      </c>
      <c r="C24" s="25" t="s">
        <v>143</v>
      </c>
      <c r="D24" s="25">
        <v>2021</v>
      </c>
      <c r="E24" s="26">
        <v>1556859499.87626</v>
      </c>
    </row>
    <row r="25" spans="1:5" outlineLevel="2">
      <c r="A25" s="24" t="s">
        <v>144</v>
      </c>
      <c r="B25" s="25" t="s">
        <v>122</v>
      </c>
      <c r="C25" s="25" t="s">
        <v>145</v>
      </c>
      <c r="D25" s="25">
        <v>2021</v>
      </c>
      <c r="E25" s="26">
        <v>24736677948.471802</v>
      </c>
    </row>
    <row r="26" spans="1:5" outlineLevel="2">
      <c r="A26" s="24" t="s">
        <v>146</v>
      </c>
      <c r="B26" s="25" t="s">
        <v>122</v>
      </c>
      <c r="C26" s="25" t="s">
        <v>147</v>
      </c>
      <c r="D26" s="25">
        <v>2021</v>
      </c>
      <c r="E26" s="26">
        <v>2044291602.24575</v>
      </c>
    </row>
    <row r="27" spans="1:5" outlineLevel="2">
      <c r="A27" s="24" t="s">
        <v>148</v>
      </c>
      <c r="B27" s="25" t="s">
        <v>122</v>
      </c>
      <c r="C27" s="25" t="s">
        <v>149</v>
      </c>
      <c r="D27" s="25">
        <v>2021</v>
      </c>
      <c r="E27" s="26">
        <v>22710282956.236881</v>
      </c>
    </row>
    <row r="28" spans="1:5" outlineLevel="2">
      <c r="A28" s="24" t="s">
        <v>150</v>
      </c>
      <c r="B28" s="25" t="s">
        <v>122</v>
      </c>
      <c r="C28" s="25" t="s">
        <v>151</v>
      </c>
      <c r="D28" s="25">
        <v>2021</v>
      </c>
      <c r="E28" s="26">
        <v>25539059018.154869</v>
      </c>
    </row>
    <row r="29" spans="1:5" outlineLevel="1">
      <c r="A29" s="24"/>
      <c r="B29" s="28" t="s">
        <v>171</v>
      </c>
      <c r="C29" s="25"/>
      <c r="D29" s="25">
        <v>2021</v>
      </c>
      <c r="E29" s="26">
        <f>SUBTOTAL(9,E14:E28)</f>
        <v>313524663818.37982</v>
      </c>
    </row>
    <row r="30" spans="1:5" outlineLevel="2">
      <c r="A30" s="24" t="s">
        <v>152</v>
      </c>
      <c r="B30" s="25" t="s">
        <v>153</v>
      </c>
      <c r="C30" s="25" t="s">
        <v>154</v>
      </c>
      <c r="D30" s="25">
        <v>2021</v>
      </c>
      <c r="E30" s="26">
        <v>3139283616.2175503</v>
      </c>
    </row>
    <row r="31" spans="1:5" outlineLevel="2">
      <c r="A31" s="24" t="s">
        <v>155</v>
      </c>
      <c r="B31" s="25" t="s">
        <v>153</v>
      </c>
      <c r="C31" s="25" t="s">
        <v>156</v>
      </c>
      <c r="D31" s="25">
        <v>2021</v>
      </c>
      <c r="E31" s="26">
        <v>3196857255.2523766</v>
      </c>
    </row>
    <row r="32" spans="1:5" outlineLevel="2">
      <c r="A32" s="24" t="s">
        <v>157</v>
      </c>
      <c r="B32" s="25" t="s">
        <v>153</v>
      </c>
      <c r="C32" s="25" t="s">
        <v>158</v>
      </c>
      <c r="D32" s="25">
        <v>2021</v>
      </c>
      <c r="E32" s="26">
        <v>1370081680.8224471</v>
      </c>
    </row>
    <row r="33" spans="1:5" outlineLevel="2">
      <c r="A33" s="24" t="s">
        <v>159</v>
      </c>
      <c r="B33" s="25" t="s">
        <v>153</v>
      </c>
      <c r="C33" s="25" t="s">
        <v>160</v>
      </c>
      <c r="D33" s="25">
        <v>2021</v>
      </c>
      <c r="E33" s="26">
        <v>930873704.96608698</v>
      </c>
    </row>
    <row r="34" spans="1:5" outlineLevel="1">
      <c r="A34" s="24"/>
      <c r="B34" s="28" t="s">
        <v>172</v>
      </c>
      <c r="C34" s="25"/>
      <c r="D34" s="25">
        <v>2021</v>
      </c>
      <c r="E34" s="26">
        <f>SUBTOTAL(9,E30:E33)</f>
        <v>8637096257.258461</v>
      </c>
    </row>
    <row r="35" spans="1:5" outlineLevel="2">
      <c r="A35" s="24" t="s">
        <v>161</v>
      </c>
      <c r="B35" s="25" t="s">
        <v>162</v>
      </c>
      <c r="C35" s="25" t="s">
        <v>163</v>
      </c>
      <c r="D35" s="25">
        <v>2021</v>
      </c>
      <c r="E35" s="26">
        <v>24543513677.563782</v>
      </c>
    </row>
    <row r="36" spans="1:5" outlineLevel="2">
      <c r="A36" s="24" t="s">
        <v>164</v>
      </c>
      <c r="B36" s="25" t="s">
        <v>162</v>
      </c>
      <c r="C36" s="25" t="s">
        <v>165</v>
      </c>
      <c r="D36" s="25">
        <v>2021</v>
      </c>
      <c r="E36" s="26">
        <v>36861223625.37104</v>
      </c>
    </row>
    <row r="37" spans="1:5" outlineLevel="2">
      <c r="A37" s="24" t="s">
        <v>166</v>
      </c>
      <c r="B37" s="25" t="s">
        <v>162</v>
      </c>
      <c r="C37" s="25" t="s">
        <v>167</v>
      </c>
      <c r="D37" s="25">
        <v>2021</v>
      </c>
      <c r="E37" s="26">
        <v>5265889089.3387203</v>
      </c>
    </row>
    <row r="38" spans="1:5" outlineLevel="1">
      <c r="A38" s="24"/>
      <c r="B38" s="28" t="s">
        <v>173</v>
      </c>
      <c r="C38" s="25"/>
      <c r="D38" s="25">
        <v>2021</v>
      </c>
      <c r="E38" s="26">
        <f>SUBTOTAL(9,E35:E37)</f>
        <v>66670626392.273544</v>
      </c>
    </row>
    <row r="39" spans="1:5" outlineLevel="2">
      <c r="A39" s="24" t="s">
        <v>99</v>
      </c>
      <c r="B39" s="25" t="s">
        <v>100</v>
      </c>
      <c r="C39" s="25" t="s">
        <v>101</v>
      </c>
      <c r="D39" s="25">
        <v>2022</v>
      </c>
      <c r="E39" s="26">
        <v>8625012284.7622795</v>
      </c>
    </row>
    <row r="40" spans="1:5" outlineLevel="2">
      <c r="A40" s="24" t="s">
        <v>102</v>
      </c>
      <c r="B40" s="25" t="s">
        <v>100</v>
      </c>
      <c r="C40" s="25" t="s">
        <v>103</v>
      </c>
      <c r="D40" s="25">
        <v>2022</v>
      </c>
      <c r="E40" s="26">
        <v>550648239.22139001</v>
      </c>
    </row>
    <row r="41" spans="1:5" outlineLevel="2">
      <c r="A41" s="24" t="s">
        <v>104</v>
      </c>
      <c r="B41" s="25" t="s">
        <v>100</v>
      </c>
      <c r="C41" s="25" t="s">
        <v>105</v>
      </c>
      <c r="D41" s="25">
        <v>2022</v>
      </c>
      <c r="E41" s="26">
        <v>194814365888.58835</v>
      </c>
    </row>
    <row r="42" spans="1:5" outlineLevel="2">
      <c r="A42" s="24" t="s">
        <v>106</v>
      </c>
      <c r="B42" s="25" t="s">
        <v>100</v>
      </c>
      <c r="C42" s="25" t="s">
        <v>107</v>
      </c>
      <c r="D42" s="25">
        <v>2022</v>
      </c>
      <c r="E42" s="26">
        <v>287732041.07704997</v>
      </c>
    </row>
    <row r="43" spans="1:5" outlineLevel="2">
      <c r="A43" s="24" t="s">
        <v>108</v>
      </c>
      <c r="B43" s="25" t="s">
        <v>100</v>
      </c>
      <c r="C43" s="25" t="s">
        <v>109</v>
      </c>
      <c r="D43" s="25">
        <v>2022</v>
      </c>
      <c r="E43" s="26">
        <v>101144427.36272</v>
      </c>
    </row>
    <row r="44" spans="1:5" outlineLevel="2">
      <c r="A44" s="24" t="s">
        <v>110</v>
      </c>
      <c r="B44" s="25" t="s">
        <v>100</v>
      </c>
      <c r="C44" s="25" t="s">
        <v>111</v>
      </c>
      <c r="D44" s="25">
        <v>2022</v>
      </c>
      <c r="E44" s="26">
        <v>5994170182.52139</v>
      </c>
    </row>
    <row r="45" spans="1:5" outlineLevel="2">
      <c r="A45" s="24" t="s">
        <v>112</v>
      </c>
      <c r="B45" s="25" t="s">
        <v>100</v>
      </c>
      <c r="C45" s="25" t="s">
        <v>113</v>
      </c>
      <c r="D45" s="25">
        <v>2022</v>
      </c>
      <c r="E45" s="26">
        <v>2530758402.7623301</v>
      </c>
    </row>
    <row r="46" spans="1:5" outlineLevel="2">
      <c r="A46" s="24" t="s">
        <v>114</v>
      </c>
      <c r="B46" s="25" t="s">
        <v>100</v>
      </c>
      <c r="C46" s="25" t="s">
        <v>115</v>
      </c>
      <c r="D46" s="25">
        <v>2022</v>
      </c>
      <c r="E46" s="26">
        <v>8778712499.9489498</v>
      </c>
    </row>
    <row r="47" spans="1:5" outlineLevel="1">
      <c r="A47" s="24"/>
      <c r="B47" s="28" t="s">
        <v>169</v>
      </c>
      <c r="C47" s="25"/>
      <c r="D47" s="25">
        <v>2022</v>
      </c>
      <c r="E47" s="26">
        <f>SUBTOTAL(9,E39:E46)</f>
        <v>221682543966.24448</v>
      </c>
    </row>
    <row r="48" spans="1:5" outlineLevel="2">
      <c r="A48" s="24" t="s">
        <v>116</v>
      </c>
      <c r="B48" s="25" t="s">
        <v>117</v>
      </c>
      <c r="C48" s="25" t="s">
        <v>118</v>
      </c>
      <c r="D48" s="25">
        <v>2022</v>
      </c>
      <c r="E48" s="26">
        <v>8819202190.0425167</v>
      </c>
    </row>
    <row r="49" spans="1:5" outlineLevel="2">
      <c r="A49" s="24" t="s">
        <v>119</v>
      </c>
      <c r="B49" s="25" t="s">
        <v>117</v>
      </c>
      <c r="C49" s="25" t="s">
        <v>120</v>
      </c>
      <c r="D49" s="25">
        <v>2022</v>
      </c>
      <c r="E49" s="26">
        <v>97138787598.696976</v>
      </c>
    </row>
    <row r="50" spans="1:5" outlineLevel="1">
      <c r="A50" s="24"/>
      <c r="B50" s="28" t="s">
        <v>170</v>
      </c>
      <c r="C50" s="25"/>
      <c r="D50" s="25">
        <v>2022</v>
      </c>
      <c r="E50" s="26">
        <f>SUBTOTAL(9,E48:E49)</f>
        <v>105957989788.73949</v>
      </c>
    </row>
    <row r="51" spans="1:5" outlineLevel="2">
      <c r="A51" s="24" t="s">
        <v>121</v>
      </c>
      <c r="B51" s="25" t="s">
        <v>122</v>
      </c>
      <c r="C51" s="25" t="s">
        <v>123</v>
      </c>
      <c r="D51" s="25">
        <v>2022</v>
      </c>
      <c r="E51" s="26">
        <v>81169539288.444717</v>
      </c>
    </row>
    <row r="52" spans="1:5" outlineLevel="2">
      <c r="A52" s="24" t="s">
        <v>124</v>
      </c>
      <c r="B52" s="25" t="s">
        <v>122</v>
      </c>
      <c r="C52" s="25" t="s">
        <v>125</v>
      </c>
      <c r="D52" s="25">
        <v>2022</v>
      </c>
      <c r="E52" s="26">
        <v>8924512556.3200207</v>
      </c>
    </row>
    <row r="53" spans="1:5" outlineLevel="2">
      <c r="A53" s="24" t="s">
        <v>126</v>
      </c>
      <c r="B53" s="25" t="s">
        <v>122</v>
      </c>
      <c r="C53" s="25" t="s">
        <v>127</v>
      </c>
      <c r="D53" s="25">
        <v>2022</v>
      </c>
      <c r="E53" s="26">
        <v>74473026135.496002</v>
      </c>
    </row>
    <row r="54" spans="1:5" outlineLevel="2">
      <c r="A54" s="24" t="s">
        <v>128</v>
      </c>
      <c r="B54" s="25" t="s">
        <v>122</v>
      </c>
      <c r="C54" s="25" t="s">
        <v>129</v>
      </c>
      <c r="D54" s="25">
        <v>2022</v>
      </c>
      <c r="E54" s="26">
        <v>31556614456.26815</v>
      </c>
    </row>
    <row r="55" spans="1:5" outlineLevel="2">
      <c r="A55" s="24" t="s">
        <v>130</v>
      </c>
      <c r="B55" s="25" t="s">
        <v>122</v>
      </c>
      <c r="C55" s="25" t="s">
        <v>131</v>
      </c>
      <c r="D55" s="25">
        <v>2022</v>
      </c>
      <c r="E55" s="26">
        <v>70694497022.892502</v>
      </c>
    </row>
    <row r="56" spans="1:5" outlineLevel="2">
      <c r="A56" s="24" t="s">
        <v>132</v>
      </c>
      <c r="B56" s="25" t="s">
        <v>122</v>
      </c>
      <c r="C56" s="25" t="s">
        <v>133</v>
      </c>
      <c r="D56" s="25">
        <v>2022</v>
      </c>
      <c r="E56" s="26">
        <v>70768209.019409999</v>
      </c>
    </row>
    <row r="57" spans="1:5" outlineLevel="2">
      <c r="A57" s="24" t="s">
        <v>134</v>
      </c>
      <c r="B57" s="25" t="s">
        <v>122</v>
      </c>
      <c r="C57" s="25" t="s">
        <v>135</v>
      </c>
      <c r="D57" s="25">
        <v>2022</v>
      </c>
      <c r="E57" s="26">
        <v>19623468991.921799</v>
      </c>
    </row>
    <row r="58" spans="1:5" outlineLevel="2">
      <c r="A58" s="24" t="s">
        <v>136</v>
      </c>
      <c r="B58" s="25" t="s">
        <v>122</v>
      </c>
      <c r="C58" s="25" t="s">
        <v>137</v>
      </c>
      <c r="D58" s="25">
        <v>2022</v>
      </c>
      <c r="E58" s="26">
        <v>3976720459.4007702</v>
      </c>
    </row>
    <row r="59" spans="1:5" outlineLevel="2">
      <c r="A59" s="24" t="s">
        <v>138</v>
      </c>
      <c r="B59" s="25" t="s">
        <v>122</v>
      </c>
      <c r="C59" s="25" t="s">
        <v>139</v>
      </c>
      <c r="D59" s="25">
        <v>2022</v>
      </c>
      <c r="E59" s="26">
        <v>1789848617.3907001</v>
      </c>
    </row>
    <row r="60" spans="1:5" outlineLevel="2">
      <c r="A60" s="24" t="s">
        <v>140</v>
      </c>
      <c r="B60" s="25" t="s">
        <v>122</v>
      </c>
      <c r="C60" s="25" t="s">
        <v>141</v>
      </c>
      <c r="D60" s="25">
        <v>2022</v>
      </c>
      <c r="E60" s="26">
        <v>128954451.47123</v>
      </c>
    </row>
    <row r="61" spans="1:5" outlineLevel="2">
      <c r="A61" s="24" t="s">
        <v>142</v>
      </c>
      <c r="B61" s="25" t="s">
        <v>122</v>
      </c>
      <c r="C61" s="25" t="s">
        <v>143</v>
      </c>
      <c r="D61" s="25">
        <v>2022</v>
      </c>
      <c r="E61" s="26">
        <v>976005898.81063902</v>
      </c>
    </row>
    <row r="62" spans="1:5" outlineLevel="2">
      <c r="A62" s="24" t="s">
        <v>144</v>
      </c>
      <c r="B62" s="25" t="s">
        <v>122</v>
      </c>
      <c r="C62" s="25" t="s">
        <v>145</v>
      </c>
      <c r="D62" s="25">
        <v>2022</v>
      </c>
      <c r="E62" s="26">
        <v>25479096425.298698</v>
      </c>
    </row>
    <row r="63" spans="1:5" outlineLevel="2">
      <c r="A63" s="24" t="s">
        <v>146</v>
      </c>
      <c r="B63" s="25" t="s">
        <v>122</v>
      </c>
      <c r="C63" s="25" t="s">
        <v>147</v>
      </c>
      <c r="D63" s="25">
        <v>2022</v>
      </c>
      <c r="E63" s="26">
        <v>2061679675.92185</v>
      </c>
    </row>
    <row r="64" spans="1:5" outlineLevel="2">
      <c r="A64" s="24" t="s">
        <v>148</v>
      </c>
      <c r="B64" s="25" t="s">
        <v>122</v>
      </c>
      <c r="C64" s="25" t="s">
        <v>149</v>
      </c>
      <c r="D64" s="25">
        <v>2022</v>
      </c>
      <c r="E64" s="26">
        <v>23569541551.646496</v>
      </c>
    </row>
    <row r="65" spans="1:5" outlineLevel="2">
      <c r="A65" s="24" t="s">
        <v>150</v>
      </c>
      <c r="B65" s="25" t="s">
        <v>122</v>
      </c>
      <c r="C65" s="25" t="s">
        <v>151</v>
      </c>
      <c r="D65" s="25">
        <v>2022</v>
      </c>
      <c r="E65" s="26">
        <v>26347892776.364208</v>
      </c>
    </row>
    <row r="66" spans="1:5" outlineLevel="1">
      <c r="A66" s="24"/>
      <c r="B66" s="28" t="s">
        <v>171</v>
      </c>
      <c r="C66" s="25"/>
      <c r="D66" s="25">
        <v>2022</v>
      </c>
      <c r="E66" s="26">
        <f>SUBTOTAL(9,E51:E65)</f>
        <v>370842166516.66724</v>
      </c>
    </row>
    <row r="67" spans="1:5" outlineLevel="2">
      <c r="A67" s="24" t="s">
        <v>152</v>
      </c>
      <c r="B67" s="25" t="s">
        <v>153</v>
      </c>
      <c r="C67" s="25" t="s">
        <v>154</v>
      </c>
      <c r="D67" s="25">
        <v>2022</v>
      </c>
      <c r="E67" s="26">
        <v>9282180255.2089996</v>
      </c>
    </row>
    <row r="68" spans="1:5" outlineLevel="2">
      <c r="A68" s="24" t="s">
        <v>155</v>
      </c>
      <c r="B68" s="25" t="s">
        <v>153</v>
      </c>
      <c r="C68" s="25" t="s">
        <v>156</v>
      </c>
      <c r="D68" s="25">
        <v>2022</v>
      </c>
      <c r="E68" s="26">
        <v>3317812466.6060429</v>
      </c>
    </row>
    <row r="69" spans="1:5" outlineLevel="2">
      <c r="A69" s="24" t="s">
        <v>157</v>
      </c>
      <c r="B69" s="25" t="s">
        <v>153</v>
      </c>
      <c r="C69" s="25" t="s">
        <v>158</v>
      </c>
      <c r="D69" s="25">
        <v>2022</v>
      </c>
      <c r="E69" s="26">
        <v>1421919628.5454469</v>
      </c>
    </row>
    <row r="70" spans="1:5" outlineLevel="2">
      <c r="A70" s="24" t="s">
        <v>159</v>
      </c>
      <c r="B70" s="25" t="s">
        <v>153</v>
      </c>
      <c r="C70" s="25" t="s">
        <v>160</v>
      </c>
      <c r="D70" s="25">
        <v>2022</v>
      </c>
      <c r="E70" s="26">
        <v>948599099.96566701</v>
      </c>
    </row>
    <row r="71" spans="1:5" outlineLevel="1">
      <c r="A71" s="24"/>
      <c r="B71" s="28" t="s">
        <v>172</v>
      </c>
      <c r="C71" s="25"/>
      <c r="D71" s="25">
        <v>2022</v>
      </c>
      <c r="E71" s="26">
        <f>SUBTOTAL(9,E67:E70)</f>
        <v>14970511450.326157</v>
      </c>
    </row>
    <row r="72" spans="1:5" outlineLevel="2">
      <c r="A72" s="24" t="s">
        <v>161</v>
      </c>
      <c r="B72" s="25" t="s">
        <v>162</v>
      </c>
      <c r="C72" s="25" t="s">
        <v>163</v>
      </c>
      <c r="D72" s="25">
        <v>2022</v>
      </c>
      <c r="E72" s="26">
        <v>39046105792.533554</v>
      </c>
    </row>
    <row r="73" spans="1:5" outlineLevel="2">
      <c r="A73" s="24" t="s">
        <v>164</v>
      </c>
      <c r="B73" s="25" t="s">
        <v>162</v>
      </c>
      <c r="C73" s="25" t="s">
        <v>165</v>
      </c>
      <c r="D73" s="25">
        <v>2022</v>
      </c>
      <c r="E73" s="26">
        <v>105917184461.33229</v>
      </c>
    </row>
    <row r="74" spans="1:5" outlineLevel="2">
      <c r="A74" s="24" t="s">
        <v>166</v>
      </c>
      <c r="B74" s="25" t="s">
        <v>162</v>
      </c>
      <c r="C74" s="25" t="s">
        <v>167</v>
      </c>
      <c r="D74" s="25">
        <v>2022</v>
      </c>
      <c r="E74" s="26">
        <v>15131026351.6189</v>
      </c>
    </row>
    <row r="75" spans="1:5" outlineLevel="1">
      <c r="A75" s="24"/>
      <c r="B75" s="28" t="s">
        <v>173</v>
      </c>
      <c r="C75" s="25"/>
      <c r="D75" s="25">
        <v>2022</v>
      </c>
      <c r="E75" s="26">
        <f>SUBTOTAL(9,E72:E74)</f>
        <v>160094316605.48474</v>
      </c>
    </row>
    <row r="76" spans="1:5" outlineLevel="2">
      <c r="A76" s="24" t="s">
        <v>99</v>
      </c>
      <c r="B76" s="25" t="s">
        <v>100</v>
      </c>
      <c r="C76" s="25" t="s">
        <v>101</v>
      </c>
      <c r="D76" s="25">
        <v>2023</v>
      </c>
      <c r="E76" s="26">
        <v>9024347964.3451004</v>
      </c>
    </row>
    <row r="77" spans="1:5" outlineLevel="2">
      <c r="A77" s="24" t="s">
        <v>102</v>
      </c>
      <c r="B77" s="25" t="s">
        <v>100</v>
      </c>
      <c r="C77" s="25" t="s">
        <v>103</v>
      </c>
      <c r="D77" s="25">
        <v>2023</v>
      </c>
      <c r="E77" s="26">
        <v>579909095.39494002</v>
      </c>
    </row>
    <row r="78" spans="1:5" outlineLevel="2">
      <c r="A78" s="24" t="s">
        <v>104</v>
      </c>
      <c r="B78" s="25" t="s">
        <v>100</v>
      </c>
      <c r="C78" s="25" t="s">
        <v>105</v>
      </c>
      <c r="D78" s="25">
        <v>2023</v>
      </c>
      <c r="E78" s="26">
        <v>248749793084.71033</v>
      </c>
    </row>
    <row r="79" spans="1:5" outlineLevel="2">
      <c r="A79" s="24" t="s">
        <v>106</v>
      </c>
      <c r="B79" s="25" t="s">
        <v>100</v>
      </c>
      <c r="C79" s="25" t="s">
        <v>107</v>
      </c>
      <c r="D79" s="25">
        <v>2023</v>
      </c>
      <c r="E79" s="26">
        <v>296245248.57738</v>
      </c>
    </row>
    <row r="80" spans="1:5" outlineLevel="2">
      <c r="A80" s="24" t="s">
        <v>108</v>
      </c>
      <c r="B80" s="25" t="s">
        <v>100</v>
      </c>
      <c r="C80" s="25" t="s">
        <v>109</v>
      </c>
      <c r="D80" s="25">
        <v>2023</v>
      </c>
      <c r="E80" s="26">
        <v>107852800.39283</v>
      </c>
    </row>
    <row r="81" spans="1:5" outlineLevel="2">
      <c r="A81" s="24" t="s">
        <v>110</v>
      </c>
      <c r="B81" s="25" t="s">
        <v>100</v>
      </c>
      <c r="C81" s="25" t="s">
        <v>111</v>
      </c>
      <c r="D81" s="25">
        <v>2023</v>
      </c>
      <c r="E81" s="26">
        <v>6522465367.7716198</v>
      </c>
    </row>
    <row r="82" spans="1:5" outlineLevel="2">
      <c r="A82" s="24" t="s">
        <v>112</v>
      </c>
      <c r="B82" s="25" t="s">
        <v>100</v>
      </c>
      <c r="C82" s="25" t="s">
        <v>113</v>
      </c>
      <c r="D82" s="25">
        <v>2023</v>
      </c>
      <c r="E82" s="26">
        <v>3002906538.27316</v>
      </c>
    </row>
    <row r="83" spans="1:5" outlineLevel="2">
      <c r="A83" s="24" t="s">
        <v>114</v>
      </c>
      <c r="B83" s="25" t="s">
        <v>100</v>
      </c>
      <c r="C83" s="25" t="s">
        <v>115</v>
      </c>
      <c r="D83" s="25">
        <v>2023</v>
      </c>
      <c r="E83" s="26">
        <v>9351456446.09268</v>
      </c>
    </row>
    <row r="84" spans="1:5" outlineLevel="1">
      <c r="A84" s="24"/>
      <c r="B84" s="28" t="s">
        <v>169</v>
      </c>
      <c r="C84" s="25"/>
      <c r="D84" s="25">
        <v>2023</v>
      </c>
      <c r="E84" s="26">
        <f>SUBTOTAL(9,E76:E83)</f>
        <v>277634976545.55804</v>
      </c>
    </row>
    <row r="85" spans="1:5" outlineLevel="2">
      <c r="A85" s="24" t="s">
        <v>116</v>
      </c>
      <c r="B85" s="25" t="s">
        <v>117</v>
      </c>
      <c r="C85" s="25" t="s">
        <v>118</v>
      </c>
      <c r="D85" s="25">
        <v>2023</v>
      </c>
      <c r="E85" s="26">
        <v>9532058355.8455772</v>
      </c>
    </row>
    <row r="86" spans="1:5" outlineLevel="2">
      <c r="A86" s="24" t="s">
        <v>119</v>
      </c>
      <c r="B86" s="25" t="s">
        <v>117</v>
      </c>
      <c r="C86" s="25" t="s">
        <v>120</v>
      </c>
      <c r="D86" s="25">
        <v>2023</v>
      </c>
      <c r="E86" s="26">
        <v>104213865686.00291</v>
      </c>
    </row>
    <row r="87" spans="1:5" outlineLevel="1">
      <c r="A87" s="24"/>
      <c r="B87" s="28" t="s">
        <v>170</v>
      </c>
      <c r="C87" s="25"/>
      <c r="D87" s="25">
        <v>2023</v>
      </c>
      <c r="E87" s="26">
        <f>SUBTOTAL(9,E85:E86)</f>
        <v>113745924041.8485</v>
      </c>
    </row>
    <row r="88" spans="1:5" outlineLevel="2">
      <c r="A88" s="24" t="s">
        <v>121</v>
      </c>
      <c r="B88" s="25" t="s">
        <v>122</v>
      </c>
      <c r="C88" s="25" t="s">
        <v>123</v>
      </c>
      <c r="D88" s="25">
        <v>2023</v>
      </c>
      <c r="E88" s="26">
        <v>84696068363.779465</v>
      </c>
    </row>
    <row r="89" spans="1:5" outlineLevel="2">
      <c r="A89" s="24" t="s">
        <v>124</v>
      </c>
      <c r="B89" s="25" t="s">
        <v>122</v>
      </c>
      <c r="C89" s="25" t="s">
        <v>125</v>
      </c>
      <c r="D89" s="25">
        <v>2023</v>
      </c>
      <c r="E89" s="26">
        <v>9308661621.1614113</v>
      </c>
    </row>
    <row r="90" spans="1:5" outlineLevel="2">
      <c r="A90" s="24" t="s">
        <v>126</v>
      </c>
      <c r="B90" s="25" t="s">
        <v>122</v>
      </c>
      <c r="C90" s="25" t="s">
        <v>127</v>
      </c>
      <c r="D90" s="25">
        <v>2023</v>
      </c>
      <c r="E90" s="26">
        <v>107220122056.73199</v>
      </c>
    </row>
    <row r="91" spans="1:5" outlineLevel="2">
      <c r="A91" s="24" t="s">
        <v>128</v>
      </c>
      <c r="B91" s="25" t="s">
        <v>122</v>
      </c>
      <c r="C91" s="25" t="s">
        <v>129</v>
      </c>
      <c r="D91" s="25">
        <v>2023</v>
      </c>
      <c r="E91" s="26">
        <v>32473780102.7719</v>
      </c>
    </row>
    <row r="92" spans="1:5" outlineLevel="2">
      <c r="A92" s="24" t="s">
        <v>130</v>
      </c>
      <c r="B92" s="25" t="s">
        <v>122</v>
      </c>
      <c r="C92" s="25" t="s">
        <v>131</v>
      </c>
      <c r="D92" s="25">
        <v>2023</v>
      </c>
      <c r="E92" s="26">
        <v>74455950695.195801</v>
      </c>
    </row>
    <row r="93" spans="1:5" outlineLevel="2">
      <c r="A93" s="24" t="s">
        <v>132</v>
      </c>
      <c r="B93" s="25" t="s">
        <v>122</v>
      </c>
      <c r="C93" s="25" t="s">
        <v>133</v>
      </c>
      <c r="D93" s="25">
        <v>2023</v>
      </c>
      <c r="E93" s="26">
        <v>72861566.856999993</v>
      </c>
    </row>
    <row r="94" spans="1:5" outlineLevel="2">
      <c r="A94" s="24" t="s">
        <v>134</v>
      </c>
      <c r="B94" s="25" t="s">
        <v>122</v>
      </c>
      <c r="C94" s="25" t="s">
        <v>135</v>
      </c>
      <c r="D94" s="25">
        <v>2023</v>
      </c>
      <c r="E94" s="26">
        <v>20818630767.9869</v>
      </c>
    </row>
    <row r="95" spans="1:5" outlineLevel="2">
      <c r="A95" s="24" t="s">
        <v>136</v>
      </c>
      <c r="B95" s="25" t="s">
        <v>122</v>
      </c>
      <c r="C95" s="25" t="s">
        <v>137</v>
      </c>
      <c r="D95" s="25">
        <v>2023</v>
      </c>
      <c r="E95" s="26">
        <v>3549387620.0997801</v>
      </c>
    </row>
    <row r="96" spans="1:5" outlineLevel="2">
      <c r="A96" s="24" t="s">
        <v>138</v>
      </c>
      <c r="B96" s="25" t="s">
        <v>122</v>
      </c>
      <c r="C96" s="25" t="s">
        <v>139</v>
      </c>
      <c r="D96" s="25">
        <v>2023</v>
      </c>
      <c r="E96" s="26">
        <v>2005787058.5634699</v>
      </c>
    </row>
    <row r="97" spans="1:5" outlineLevel="2">
      <c r="A97" s="24" t="s">
        <v>140</v>
      </c>
      <c r="B97" s="25" t="s">
        <v>122</v>
      </c>
      <c r="C97" s="25" t="s">
        <v>141</v>
      </c>
      <c r="D97" s="25">
        <v>2023</v>
      </c>
      <c r="E97" s="26">
        <v>135981350.32106999</v>
      </c>
    </row>
    <row r="98" spans="1:5" outlineLevel="2">
      <c r="A98" s="24" t="s">
        <v>142</v>
      </c>
      <c r="B98" s="25" t="s">
        <v>122</v>
      </c>
      <c r="C98" s="25" t="s">
        <v>143</v>
      </c>
      <c r="D98" s="25">
        <v>2023</v>
      </c>
      <c r="E98" s="26">
        <v>1024042675.8151101</v>
      </c>
    </row>
    <row r="99" spans="1:5" outlineLevel="2">
      <c r="A99" s="24" t="s">
        <v>144</v>
      </c>
      <c r="B99" s="25" t="s">
        <v>122</v>
      </c>
      <c r="C99" s="25" t="s">
        <v>145</v>
      </c>
      <c r="D99" s="25">
        <v>2023</v>
      </c>
      <c r="E99" s="26">
        <v>26244379854.3363</v>
      </c>
    </row>
    <row r="100" spans="1:5" outlineLevel="2">
      <c r="A100" s="24" t="s">
        <v>146</v>
      </c>
      <c r="B100" s="25" t="s">
        <v>122</v>
      </c>
      <c r="C100" s="25" t="s">
        <v>147</v>
      </c>
      <c r="D100" s="25">
        <v>2023</v>
      </c>
      <c r="E100" s="26">
        <v>2175536198.07161</v>
      </c>
    </row>
    <row r="101" spans="1:5" outlineLevel="2">
      <c r="A101" s="24" t="s">
        <v>148</v>
      </c>
      <c r="B101" s="25" t="s">
        <v>122</v>
      </c>
      <c r="C101" s="25" t="s">
        <v>149</v>
      </c>
      <c r="D101" s="25">
        <v>2023</v>
      </c>
      <c r="E101" s="26">
        <v>25270093057.895248</v>
      </c>
    </row>
    <row r="102" spans="1:5" outlineLevel="2">
      <c r="A102" s="24" t="s">
        <v>150</v>
      </c>
      <c r="B102" s="25" t="s">
        <v>122</v>
      </c>
      <c r="C102" s="25" t="s">
        <v>151</v>
      </c>
      <c r="D102" s="25">
        <v>2023</v>
      </c>
      <c r="E102" s="26">
        <v>27889049035.468773</v>
      </c>
    </row>
    <row r="103" spans="1:5" outlineLevel="1">
      <c r="A103" s="24"/>
      <c r="B103" s="28" t="s">
        <v>171</v>
      </c>
      <c r="C103" s="25"/>
      <c r="D103" s="25">
        <v>2023</v>
      </c>
      <c r="E103" s="26">
        <f>SUBTOTAL(9,E88:E102)</f>
        <v>417340332025.05579</v>
      </c>
    </row>
    <row r="104" spans="1:5" outlineLevel="2">
      <c r="A104" s="24" t="s">
        <v>152</v>
      </c>
      <c r="B104" s="25" t="s">
        <v>153</v>
      </c>
      <c r="C104" s="25" t="s">
        <v>154</v>
      </c>
      <c r="D104" s="25">
        <v>2023</v>
      </c>
      <c r="E104" s="26">
        <v>8982717704.21525</v>
      </c>
    </row>
    <row r="105" spans="1:5" outlineLevel="2">
      <c r="A105" s="24" t="s">
        <v>155</v>
      </c>
      <c r="B105" s="25" t="s">
        <v>153</v>
      </c>
      <c r="C105" s="25" t="s">
        <v>156</v>
      </c>
      <c r="D105" s="25">
        <v>2023</v>
      </c>
      <c r="E105" s="26">
        <v>3557193914.6997433</v>
      </c>
    </row>
    <row r="106" spans="1:5" outlineLevel="2">
      <c r="A106" s="24" t="s">
        <v>157</v>
      </c>
      <c r="B106" s="25" t="s">
        <v>153</v>
      </c>
      <c r="C106" s="25" t="s">
        <v>158</v>
      </c>
      <c r="D106" s="25">
        <v>2023</v>
      </c>
      <c r="E106" s="26">
        <v>1524511677.7284613</v>
      </c>
    </row>
    <row r="107" spans="1:5" outlineLevel="2">
      <c r="A107" s="24" t="s">
        <v>159</v>
      </c>
      <c r="B107" s="25" t="s">
        <v>153</v>
      </c>
      <c r="C107" s="25" t="s">
        <v>160</v>
      </c>
      <c r="D107" s="25">
        <v>2023</v>
      </c>
      <c r="E107" s="26">
        <v>977057072.96463704</v>
      </c>
    </row>
    <row r="108" spans="1:5" outlineLevel="1">
      <c r="A108" s="24"/>
      <c r="B108" s="28" t="s">
        <v>172</v>
      </c>
      <c r="C108" s="25"/>
      <c r="D108" s="25">
        <v>2023</v>
      </c>
      <c r="E108" s="26">
        <f>SUBTOTAL(9,E104:E107)</f>
        <v>15041480369.608093</v>
      </c>
    </row>
    <row r="109" spans="1:5" outlineLevel="2">
      <c r="A109" s="24" t="s">
        <v>161</v>
      </c>
      <c r="B109" s="25" t="s">
        <v>162</v>
      </c>
      <c r="C109" s="25" t="s">
        <v>163</v>
      </c>
      <c r="D109" s="25">
        <v>2023</v>
      </c>
      <c r="E109" s="26">
        <v>26603871460.421291</v>
      </c>
    </row>
    <row r="110" spans="1:5" outlineLevel="2">
      <c r="A110" s="24" t="s">
        <v>164</v>
      </c>
      <c r="B110" s="25" t="s">
        <v>162</v>
      </c>
      <c r="C110" s="25" t="s">
        <v>165</v>
      </c>
      <c r="D110" s="25">
        <v>2023</v>
      </c>
      <c r="E110" s="26">
        <v>60856205823.298546</v>
      </c>
    </row>
    <row r="111" spans="1:5" outlineLevel="2">
      <c r="A111" s="24" t="s">
        <v>166</v>
      </c>
      <c r="B111" s="25" t="s">
        <v>162</v>
      </c>
      <c r="C111" s="25" t="s">
        <v>167</v>
      </c>
      <c r="D111" s="25">
        <v>2023</v>
      </c>
      <c r="E111" s="26">
        <v>8693743689.0426502</v>
      </c>
    </row>
    <row r="112" spans="1:5" outlineLevel="1">
      <c r="A112" s="24"/>
      <c r="B112" s="28" t="s">
        <v>173</v>
      </c>
      <c r="C112" s="25"/>
      <c r="D112" s="25">
        <v>2023</v>
      </c>
      <c r="E112" s="26">
        <f>SUBTOTAL(9,E109:E111)</f>
        <v>96153820972.762482</v>
      </c>
    </row>
    <row r="113" spans="1:5" outlineLevel="2">
      <c r="A113" s="24" t="s">
        <v>99</v>
      </c>
      <c r="B113" s="25" t="s">
        <v>100</v>
      </c>
      <c r="C113" s="25" t="s">
        <v>101</v>
      </c>
      <c r="D113" s="25">
        <v>2024</v>
      </c>
      <c r="E113" s="26">
        <v>8547821180.0598602</v>
      </c>
    </row>
    <row r="114" spans="1:5" outlineLevel="2">
      <c r="A114" s="24" t="s">
        <v>102</v>
      </c>
      <c r="B114" s="25" t="s">
        <v>100</v>
      </c>
      <c r="C114" s="25" t="s">
        <v>103</v>
      </c>
      <c r="D114" s="25">
        <v>2024</v>
      </c>
      <c r="E114" s="26">
        <v>587351625.29184997</v>
      </c>
    </row>
    <row r="115" spans="1:5" outlineLevel="2">
      <c r="A115" s="24" t="s">
        <v>104</v>
      </c>
      <c r="B115" s="25" t="s">
        <v>100</v>
      </c>
      <c r="C115" s="25" t="s">
        <v>105</v>
      </c>
      <c r="D115" s="25">
        <v>2024</v>
      </c>
      <c r="E115" s="26">
        <v>130711913331.67386</v>
      </c>
    </row>
    <row r="116" spans="1:5" outlineLevel="2">
      <c r="A116" s="24" t="s">
        <v>106</v>
      </c>
      <c r="B116" s="25" t="s">
        <v>100</v>
      </c>
      <c r="C116" s="25" t="s">
        <v>107</v>
      </c>
      <c r="D116" s="25">
        <v>2024</v>
      </c>
      <c r="E116" s="26">
        <v>305010289.69075006</v>
      </c>
    </row>
    <row r="117" spans="1:5" outlineLevel="2">
      <c r="A117" s="24" t="s">
        <v>108</v>
      </c>
      <c r="B117" s="25" t="s">
        <v>100</v>
      </c>
      <c r="C117" s="25" t="s">
        <v>109</v>
      </c>
      <c r="D117" s="25">
        <v>2024</v>
      </c>
      <c r="E117" s="26">
        <v>113364622.61478999</v>
      </c>
    </row>
    <row r="118" spans="1:5" outlineLevel="2">
      <c r="A118" s="24" t="s">
        <v>110</v>
      </c>
      <c r="B118" s="25" t="s">
        <v>100</v>
      </c>
      <c r="C118" s="25" t="s">
        <v>111</v>
      </c>
      <c r="D118" s="25">
        <v>2024</v>
      </c>
      <c r="E118" s="26">
        <v>6660551023.1021299</v>
      </c>
    </row>
    <row r="119" spans="1:5" outlineLevel="2">
      <c r="A119" s="24" t="s">
        <v>112</v>
      </c>
      <c r="B119" s="25" t="s">
        <v>100</v>
      </c>
      <c r="C119" s="25" t="s">
        <v>113</v>
      </c>
      <c r="D119" s="25">
        <v>2024</v>
      </c>
      <c r="E119" s="26">
        <v>2919127523.18788</v>
      </c>
    </row>
    <row r="120" spans="1:5" outlineLevel="2">
      <c r="A120" s="24" t="s">
        <v>114</v>
      </c>
      <c r="B120" s="25" t="s">
        <v>100</v>
      </c>
      <c r="C120" s="25" t="s">
        <v>115</v>
      </c>
      <c r="D120" s="25">
        <v>2024</v>
      </c>
      <c r="E120" s="26">
        <v>9818350699.5944996</v>
      </c>
    </row>
    <row r="121" spans="1:5" outlineLevel="1">
      <c r="A121" s="24"/>
      <c r="B121" s="28" t="s">
        <v>169</v>
      </c>
      <c r="C121" s="25"/>
      <c r="D121" s="25">
        <v>2024</v>
      </c>
      <c r="E121" s="26">
        <f>SUBTOTAL(9,E113:E120)</f>
        <v>159663490295.21561</v>
      </c>
    </row>
    <row r="122" spans="1:5" outlineLevel="2">
      <c r="A122" s="24" t="s">
        <v>116</v>
      </c>
      <c r="B122" s="25" t="s">
        <v>117</v>
      </c>
      <c r="C122" s="25" t="s">
        <v>118</v>
      </c>
      <c r="D122" s="25">
        <v>2024</v>
      </c>
      <c r="E122" s="26">
        <v>10302835035.71604</v>
      </c>
    </row>
    <row r="123" spans="1:5" outlineLevel="2">
      <c r="A123" s="24" t="s">
        <v>119</v>
      </c>
      <c r="B123" s="25" t="s">
        <v>117</v>
      </c>
      <c r="C123" s="25" t="s">
        <v>120</v>
      </c>
      <c r="D123" s="25">
        <v>2024</v>
      </c>
      <c r="E123" s="26">
        <v>111787759913.97791</v>
      </c>
    </row>
    <row r="124" spans="1:5" outlineLevel="1">
      <c r="A124" s="24"/>
      <c r="B124" s="28" t="s">
        <v>170</v>
      </c>
      <c r="C124" s="25"/>
      <c r="D124" s="25">
        <v>2024</v>
      </c>
      <c r="E124" s="26">
        <f>SUBTOTAL(9,E122:E123)</f>
        <v>122090594949.69394</v>
      </c>
    </row>
    <row r="125" spans="1:5" outlineLevel="2">
      <c r="A125" s="24" t="s">
        <v>121</v>
      </c>
      <c r="B125" s="25" t="s">
        <v>122</v>
      </c>
      <c r="C125" s="25" t="s">
        <v>123</v>
      </c>
      <c r="D125" s="25">
        <v>2024</v>
      </c>
      <c r="E125" s="26">
        <v>88436668827.777298</v>
      </c>
    </row>
    <row r="126" spans="1:5" outlineLevel="2">
      <c r="A126" s="24" t="s">
        <v>124</v>
      </c>
      <c r="B126" s="25" t="s">
        <v>122</v>
      </c>
      <c r="C126" s="25" t="s">
        <v>125</v>
      </c>
      <c r="D126" s="25">
        <v>2024</v>
      </c>
      <c r="E126" s="26">
        <v>9715969864.61586</v>
      </c>
    </row>
    <row r="127" spans="1:5" outlineLevel="2">
      <c r="A127" s="24" t="s">
        <v>126</v>
      </c>
      <c r="B127" s="25" t="s">
        <v>122</v>
      </c>
      <c r="C127" s="25" t="s">
        <v>127</v>
      </c>
      <c r="D127" s="25">
        <v>2024</v>
      </c>
      <c r="E127" s="26">
        <v>25121841117.210522</v>
      </c>
    </row>
    <row r="128" spans="1:5" outlineLevel="2">
      <c r="A128" s="24" t="s">
        <v>128</v>
      </c>
      <c r="B128" s="25" t="s">
        <v>122</v>
      </c>
      <c r="C128" s="25" t="s">
        <v>129</v>
      </c>
      <c r="D128" s="25">
        <v>2024</v>
      </c>
      <c r="E128" s="26">
        <v>33451294758.4184</v>
      </c>
    </row>
    <row r="129" spans="1:5" outlineLevel="2">
      <c r="A129" s="24" t="s">
        <v>130</v>
      </c>
      <c r="B129" s="25" t="s">
        <v>122</v>
      </c>
      <c r="C129" s="25" t="s">
        <v>131</v>
      </c>
      <c r="D129" s="25">
        <v>2024</v>
      </c>
      <c r="E129" s="26">
        <v>77994230751.914993</v>
      </c>
    </row>
    <row r="130" spans="1:5" outlineLevel="2">
      <c r="A130" s="24" t="s">
        <v>132</v>
      </c>
      <c r="B130" s="25" t="s">
        <v>122</v>
      </c>
      <c r="C130" s="25" t="s">
        <v>133</v>
      </c>
      <c r="D130" s="25">
        <v>2024</v>
      </c>
      <c r="E130" s="26">
        <v>75016834.776720002</v>
      </c>
    </row>
    <row r="131" spans="1:5" outlineLevel="2">
      <c r="A131" s="24" t="s">
        <v>134</v>
      </c>
      <c r="B131" s="25" t="s">
        <v>122</v>
      </c>
      <c r="C131" s="25" t="s">
        <v>135</v>
      </c>
      <c r="D131" s="25">
        <v>2024</v>
      </c>
      <c r="E131" s="26">
        <v>22086583430.6973</v>
      </c>
    </row>
    <row r="132" spans="1:5" outlineLevel="2">
      <c r="A132" s="24" t="s">
        <v>136</v>
      </c>
      <c r="B132" s="25" t="s">
        <v>122</v>
      </c>
      <c r="C132" s="25" t="s">
        <v>137</v>
      </c>
      <c r="D132" s="25">
        <v>2024</v>
      </c>
      <c r="E132" s="26">
        <v>3208788474.6951098</v>
      </c>
    </row>
    <row r="133" spans="1:5" outlineLevel="2">
      <c r="A133" s="24" t="s">
        <v>138</v>
      </c>
      <c r="B133" s="25" t="s">
        <v>122</v>
      </c>
      <c r="C133" s="25" t="s">
        <v>139</v>
      </c>
      <c r="D133" s="25">
        <v>2024</v>
      </c>
      <c r="E133" s="26">
        <v>2242627178.0485001</v>
      </c>
    </row>
    <row r="134" spans="1:5" outlineLevel="2">
      <c r="A134" s="24" t="s">
        <v>140</v>
      </c>
      <c r="B134" s="25" t="s">
        <v>122</v>
      </c>
      <c r="C134" s="25" t="s">
        <v>141</v>
      </c>
      <c r="D134" s="25">
        <v>2024</v>
      </c>
      <c r="E134" s="26">
        <v>143391146.28457999</v>
      </c>
    </row>
    <row r="135" spans="1:5" outlineLevel="2">
      <c r="A135" s="24" t="s">
        <v>142</v>
      </c>
      <c r="B135" s="25" t="s">
        <v>122</v>
      </c>
      <c r="C135" s="25" t="s">
        <v>143</v>
      </c>
      <c r="D135" s="25">
        <v>2024</v>
      </c>
      <c r="E135" s="26">
        <v>1647126849.93923</v>
      </c>
    </row>
    <row r="136" spans="1:5" outlineLevel="2">
      <c r="A136" s="24" t="s">
        <v>144</v>
      </c>
      <c r="B136" s="25" t="s">
        <v>122</v>
      </c>
      <c r="C136" s="25" t="s">
        <v>145</v>
      </c>
      <c r="D136" s="25">
        <v>2024</v>
      </c>
      <c r="E136" s="26">
        <v>27032465097.876999</v>
      </c>
    </row>
    <row r="137" spans="1:5" outlineLevel="2">
      <c r="A137" s="24" t="s">
        <v>146</v>
      </c>
      <c r="B137" s="25" t="s">
        <v>122</v>
      </c>
      <c r="C137" s="25" t="s">
        <v>147</v>
      </c>
      <c r="D137" s="25">
        <v>2024</v>
      </c>
      <c r="E137" s="26">
        <v>2291589893.2404699</v>
      </c>
    </row>
    <row r="138" spans="1:5" outlineLevel="2">
      <c r="A138" s="24" t="s">
        <v>148</v>
      </c>
      <c r="B138" s="25" t="s">
        <v>122</v>
      </c>
      <c r="C138" s="25" t="s">
        <v>149</v>
      </c>
      <c r="D138" s="25">
        <v>2024</v>
      </c>
      <c r="E138" s="26">
        <v>26944757798.879978</v>
      </c>
    </row>
    <row r="139" spans="1:5" outlineLevel="2">
      <c r="A139" s="24" t="s">
        <v>150</v>
      </c>
      <c r="B139" s="25" t="s">
        <v>122</v>
      </c>
      <c r="C139" s="25" t="s">
        <v>151</v>
      </c>
      <c r="D139" s="25">
        <v>2024</v>
      </c>
      <c r="E139" s="26">
        <v>29418327418.925781</v>
      </c>
    </row>
    <row r="140" spans="1:5" outlineLevel="1">
      <c r="A140" s="24"/>
      <c r="B140" s="28" t="s">
        <v>171</v>
      </c>
      <c r="C140" s="25"/>
      <c r="D140" s="25">
        <v>2024</v>
      </c>
      <c r="E140" s="26">
        <f>SUBTOTAL(9,E125:E139)</f>
        <v>349810679443.30176</v>
      </c>
    </row>
    <row r="141" spans="1:5" outlineLevel="2">
      <c r="A141" s="24" t="s">
        <v>152</v>
      </c>
      <c r="B141" s="25" t="s">
        <v>153</v>
      </c>
      <c r="C141" s="25" t="s">
        <v>154</v>
      </c>
      <c r="D141" s="25">
        <v>2024</v>
      </c>
      <c r="E141" s="26">
        <v>8505449680.6231804</v>
      </c>
    </row>
    <row r="142" spans="1:5" outlineLevel="2">
      <c r="A142" s="24" t="s">
        <v>155</v>
      </c>
      <c r="B142" s="25" t="s">
        <v>153</v>
      </c>
      <c r="C142" s="25" t="s">
        <v>156</v>
      </c>
      <c r="D142" s="25">
        <v>2024</v>
      </c>
      <c r="E142" s="26">
        <v>3792931361.8134136</v>
      </c>
    </row>
    <row r="143" spans="1:5" outlineLevel="2">
      <c r="A143" s="24" t="s">
        <v>157</v>
      </c>
      <c r="B143" s="25" t="s">
        <v>153</v>
      </c>
      <c r="C143" s="25" t="s">
        <v>158</v>
      </c>
      <c r="D143" s="25">
        <v>2024</v>
      </c>
      <c r="E143" s="26">
        <v>1625542012.2057486</v>
      </c>
    </row>
    <row r="144" spans="1:5" outlineLevel="2">
      <c r="A144" s="24" t="s">
        <v>159</v>
      </c>
      <c r="B144" s="25" t="s">
        <v>153</v>
      </c>
      <c r="C144" s="25" t="s">
        <v>160</v>
      </c>
      <c r="D144" s="25">
        <v>2024</v>
      </c>
      <c r="E144" s="26">
        <v>1006368785.1535701</v>
      </c>
    </row>
    <row r="145" spans="1:5" outlineLevel="1">
      <c r="A145" s="24"/>
      <c r="B145" s="28" t="s">
        <v>172</v>
      </c>
      <c r="C145" s="25"/>
      <c r="D145" s="25">
        <v>2024</v>
      </c>
      <c r="E145" s="26">
        <f>SUBTOTAL(9,E141:E144)</f>
        <v>14930291839.795912</v>
      </c>
    </row>
    <row r="146" spans="1:5" outlineLevel="2">
      <c r="A146" s="24" t="s">
        <v>161</v>
      </c>
      <c r="B146" s="25" t="s">
        <v>162</v>
      </c>
      <c r="C146" s="25" t="s">
        <v>163</v>
      </c>
      <c r="D146" s="25">
        <v>2024</v>
      </c>
      <c r="E146" s="26">
        <v>17609288623.892891</v>
      </c>
    </row>
    <row r="147" spans="1:5" outlineLevel="2">
      <c r="A147" s="24" t="s">
        <v>164</v>
      </c>
      <c r="B147" s="25" t="s">
        <v>162</v>
      </c>
      <c r="C147" s="25" t="s">
        <v>165</v>
      </c>
      <c r="D147" s="25">
        <v>2024</v>
      </c>
      <c r="E147" s="26">
        <v>9748014410.5393696</v>
      </c>
    </row>
    <row r="148" spans="1:5" outlineLevel="2">
      <c r="A148" s="24" t="s">
        <v>166</v>
      </c>
      <c r="B148" s="25" t="s">
        <v>162</v>
      </c>
      <c r="C148" s="25" t="s">
        <v>167</v>
      </c>
      <c r="D148" s="25">
        <v>2024</v>
      </c>
      <c r="E148" s="26">
        <v>1392573487.2199101</v>
      </c>
    </row>
    <row r="149" spans="1:5" outlineLevel="1">
      <c r="A149" s="24"/>
      <c r="B149" s="28" t="s">
        <v>173</v>
      </c>
      <c r="C149" s="25"/>
      <c r="D149" s="25">
        <v>2024</v>
      </c>
      <c r="E149" s="26">
        <f>SUBTOTAL(9,E146:E148)</f>
        <v>28749876521.652168</v>
      </c>
    </row>
    <row r="150" spans="1:5" outlineLevel="2">
      <c r="A150" s="24" t="s">
        <v>99</v>
      </c>
      <c r="B150" s="25" t="s">
        <v>100</v>
      </c>
      <c r="C150" s="25" t="s">
        <v>101</v>
      </c>
      <c r="D150" s="25">
        <v>2025</v>
      </c>
      <c r="E150" s="26">
        <v>8978259699.8470898</v>
      </c>
    </row>
    <row r="151" spans="1:5" outlineLevel="2">
      <c r="A151" s="24" t="s">
        <v>102</v>
      </c>
      <c r="B151" s="25" t="s">
        <v>100</v>
      </c>
      <c r="C151" s="25" t="s">
        <v>103</v>
      </c>
      <c r="D151" s="25">
        <v>2025</v>
      </c>
      <c r="E151" s="26">
        <v>615225559.30448997</v>
      </c>
    </row>
    <row r="152" spans="1:5" outlineLevel="2">
      <c r="A152" s="24" t="s">
        <v>104</v>
      </c>
      <c r="B152" s="25" t="s">
        <v>100</v>
      </c>
      <c r="C152" s="25" t="s">
        <v>105</v>
      </c>
      <c r="D152" s="25">
        <v>2025</v>
      </c>
      <c r="E152" s="26">
        <v>197191386212.83755</v>
      </c>
    </row>
    <row r="153" spans="1:5" outlineLevel="2">
      <c r="A153" s="24" t="s">
        <v>106</v>
      </c>
      <c r="B153" s="25" t="s">
        <v>100</v>
      </c>
      <c r="C153" s="25" t="s">
        <v>107</v>
      </c>
      <c r="D153" s="25">
        <v>2025</v>
      </c>
      <c r="E153" s="26">
        <v>314034710.82009</v>
      </c>
    </row>
    <row r="154" spans="1:5" outlineLevel="2">
      <c r="A154" s="24" t="s">
        <v>108</v>
      </c>
      <c r="B154" s="25" t="s">
        <v>100</v>
      </c>
      <c r="C154" s="25" t="s">
        <v>109</v>
      </c>
      <c r="D154" s="25">
        <v>2025</v>
      </c>
      <c r="E154" s="26">
        <v>122389992.70778</v>
      </c>
    </row>
    <row r="155" spans="1:5" outlineLevel="2">
      <c r="A155" s="24" t="s">
        <v>110</v>
      </c>
      <c r="B155" s="25" t="s">
        <v>100</v>
      </c>
      <c r="C155" s="25" t="s">
        <v>111</v>
      </c>
      <c r="D155" s="25">
        <v>2025</v>
      </c>
      <c r="E155" s="26">
        <v>6797709094.3493996</v>
      </c>
    </row>
    <row r="156" spans="1:5" outlineLevel="2">
      <c r="A156" s="24" t="s">
        <v>112</v>
      </c>
      <c r="B156" s="25" t="s">
        <v>100</v>
      </c>
      <c r="C156" s="25" t="s">
        <v>113</v>
      </c>
      <c r="D156" s="25">
        <v>2025</v>
      </c>
      <c r="E156" s="26">
        <v>3125878141.6575098</v>
      </c>
    </row>
    <row r="157" spans="1:5" outlineLevel="2">
      <c r="A157" s="24" t="s">
        <v>114</v>
      </c>
      <c r="B157" s="25" t="s">
        <v>100</v>
      </c>
      <c r="C157" s="25" t="s">
        <v>115</v>
      </c>
      <c r="D157" s="25">
        <v>2025</v>
      </c>
      <c r="E157" s="26">
        <v>10596019267.59153</v>
      </c>
    </row>
    <row r="158" spans="1:5" outlineLevel="1">
      <c r="A158" s="24"/>
      <c r="B158" s="28" t="s">
        <v>169</v>
      </c>
      <c r="C158" s="25"/>
      <c r="D158" s="25">
        <v>2025</v>
      </c>
      <c r="E158" s="26">
        <f>SUBTOTAL(9,E150:E157)</f>
        <v>227740902679.11545</v>
      </c>
    </row>
    <row r="159" spans="1:5" outlineLevel="2">
      <c r="A159" s="24" t="s">
        <v>116</v>
      </c>
      <c r="B159" s="25" t="s">
        <v>117</v>
      </c>
      <c r="C159" s="25" t="s">
        <v>118</v>
      </c>
      <c r="D159" s="25">
        <v>2025</v>
      </c>
      <c r="E159" s="26">
        <v>11136247433.193588</v>
      </c>
    </row>
    <row r="160" spans="1:5" outlineLevel="2">
      <c r="A160" s="24" t="s">
        <v>119</v>
      </c>
      <c r="B160" s="25" t="s">
        <v>117</v>
      </c>
      <c r="C160" s="25" t="s">
        <v>120</v>
      </c>
      <c r="D160" s="25">
        <v>2025</v>
      </c>
      <c r="E160" s="26">
        <v>119770547029.86713</v>
      </c>
    </row>
    <row r="161" spans="1:5" outlineLevel="1">
      <c r="A161" s="24"/>
      <c r="B161" s="28" t="s">
        <v>170</v>
      </c>
      <c r="C161" s="25"/>
      <c r="D161" s="25">
        <v>2025</v>
      </c>
      <c r="E161" s="26">
        <f>SUBTOTAL(9,E159:E160)</f>
        <v>130906794463.06071</v>
      </c>
    </row>
    <row r="162" spans="1:5" outlineLevel="2">
      <c r="A162" s="24" t="s">
        <v>121</v>
      </c>
      <c r="B162" s="25" t="s">
        <v>122</v>
      </c>
      <c r="C162" s="25" t="s">
        <v>123</v>
      </c>
      <c r="D162" s="25">
        <v>2025</v>
      </c>
      <c r="E162" s="26">
        <v>92460443491.319901</v>
      </c>
    </row>
    <row r="163" spans="1:5" outlineLevel="2">
      <c r="A163" s="24" t="s">
        <v>124</v>
      </c>
      <c r="B163" s="25" t="s">
        <v>122</v>
      </c>
      <c r="C163" s="25" t="s">
        <v>125</v>
      </c>
      <c r="D163" s="25">
        <v>2025</v>
      </c>
      <c r="E163" s="26">
        <v>10154064314.645399</v>
      </c>
    </row>
    <row r="164" spans="1:5" outlineLevel="2">
      <c r="A164" s="24" t="s">
        <v>126</v>
      </c>
      <c r="B164" s="25" t="s">
        <v>122</v>
      </c>
      <c r="C164" s="25" t="s">
        <v>127</v>
      </c>
      <c r="D164" s="25">
        <v>2025</v>
      </c>
      <c r="E164" s="26">
        <v>65857756170.769608</v>
      </c>
    </row>
    <row r="165" spans="1:5" outlineLevel="2">
      <c r="A165" s="24" t="s">
        <v>128</v>
      </c>
      <c r="B165" s="25" t="s">
        <v>122</v>
      </c>
      <c r="C165" s="25" t="s">
        <v>129</v>
      </c>
      <c r="D165" s="25">
        <v>2025</v>
      </c>
      <c r="E165" s="26">
        <v>34451433311.030746</v>
      </c>
    </row>
    <row r="166" spans="1:5" outlineLevel="2">
      <c r="A166" s="24" t="s">
        <v>130</v>
      </c>
      <c r="B166" s="25" t="s">
        <v>122</v>
      </c>
      <c r="C166" s="25" t="s">
        <v>131</v>
      </c>
      <c r="D166" s="25">
        <v>2025</v>
      </c>
      <c r="E166" s="26">
        <v>81299869225.301407</v>
      </c>
    </row>
    <row r="167" spans="1:5" outlineLevel="2">
      <c r="A167" s="24" t="s">
        <v>132</v>
      </c>
      <c r="B167" s="25" t="s">
        <v>122</v>
      </c>
      <c r="C167" s="25" t="s">
        <v>133</v>
      </c>
      <c r="D167" s="25">
        <v>2025</v>
      </c>
      <c r="E167" s="26">
        <v>77235867.929680005</v>
      </c>
    </row>
    <row r="168" spans="1:5" outlineLevel="2">
      <c r="A168" s="24" t="s">
        <v>134</v>
      </c>
      <c r="B168" s="25" t="s">
        <v>122</v>
      </c>
      <c r="C168" s="25" t="s">
        <v>135</v>
      </c>
      <c r="D168" s="25">
        <v>2025</v>
      </c>
      <c r="E168" s="26">
        <v>23431760124.6964</v>
      </c>
    </row>
    <row r="169" spans="1:5" outlineLevel="2">
      <c r="A169" s="24" t="s">
        <v>136</v>
      </c>
      <c r="B169" s="25" t="s">
        <v>122</v>
      </c>
      <c r="C169" s="25" t="s">
        <v>137</v>
      </c>
      <c r="D169" s="25">
        <v>2025</v>
      </c>
      <c r="E169" s="26">
        <v>3242044106.5602598</v>
      </c>
    </row>
    <row r="170" spans="1:5" outlineLevel="2">
      <c r="A170" s="24" t="s">
        <v>138</v>
      </c>
      <c r="B170" s="25" t="s">
        <v>122</v>
      </c>
      <c r="C170" s="25" t="s">
        <v>139</v>
      </c>
      <c r="D170" s="25">
        <v>2025</v>
      </c>
      <c r="E170" s="26">
        <v>2503928193.98704</v>
      </c>
    </row>
    <row r="171" spans="1:5" outlineLevel="2">
      <c r="A171" s="24" t="s">
        <v>140</v>
      </c>
      <c r="B171" s="25" t="s">
        <v>122</v>
      </c>
      <c r="C171" s="25" t="s">
        <v>141</v>
      </c>
      <c r="D171" s="25">
        <v>2025</v>
      </c>
      <c r="E171" s="26">
        <v>151204713.28238001</v>
      </c>
    </row>
    <row r="172" spans="1:5" outlineLevel="2">
      <c r="A172" s="24" t="s">
        <v>142</v>
      </c>
      <c r="B172" s="25" t="s">
        <v>122</v>
      </c>
      <c r="C172" s="25" t="s">
        <v>143</v>
      </c>
      <c r="D172" s="25">
        <v>2025</v>
      </c>
      <c r="E172" s="26">
        <v>1078923742.06005</v>
      </c>
    </row>
    <row r="173" spans="1:5" outlineLevel="2">
      <c r="A173" s="24" t="s">
        <v>144</v>
      </c>
      <c r="B173" s="25" t="s">
        <v>122</v>
      </c>
      <c r="C173" s="25" t="s">
        <v>145</v>
      </c>
      <c r="D173" s="25">
        <v>2025</v>
      </c>
      <c r="E173" s="26">
        <v>27844522701.985199</v>
      </c>
    </row>
    <row r="174" spans="1:5" outlineLevel="2">
      <c r="A174" s="24" t="s">
        <v>146</v>
      </c>
      <c r="B174" s="25" t="s">
        <v>122</v>
      </c>
      <c r="C174" s="25" t="s">
        <v>147</v>
      </c>
      <c r="D174" s="25">
        <v>2025</v>
      </c>
      <c r="E174" s="26">
        <v>2421918886.2158499</v>
      </c>
    </row>
    <row r="175" spans="1:5" outlineLevel="2">
      <c r="A175" s="24" t="s">
        <v>148</v>
      </c>
      <c r="B175" s="25" t="s">
        <v>122</v>
      </c>
      <c r="C175" s="25" t="s">
        <v>149</v>
      </c>
      <c r="D175" s="25">
        <v>2025</v>
      </c>
      <c r="E175" s="26">
        <v>28646308481.508556</v>
      </c>
    </row>
    <row r="176" spans="1:5" outlineLevel="2">
      <c r="A176" s="24" t="s">
        <v>150</v>
      </c>
      <c r="B176" s="25" t="s">
        <v>122</v>
      </c>
      <c r="C176" s="25" t="s">
        <v>151</v>
      </c>
      <c r="D176" s="25">
        <v>2025</v>
      </c>
      <c r="E176" s="26">
        <v>30975836528.157684</v>
      </c>
    </row>
    <row r="177" spans="1:5" outlineLevel="1">
      <c r="A177" s="24"/>
      <c r="B177" s="28" t="s">
        <v>171</v>
      </c>
      <c r="C177" s="25"/>
      <c r="D177" s="25">
        <v>2025</v>
      </c>
      <c r="E177" s="26">
        <f>SUBTOTAL(9,E162:E176)</f>
        <v>404597249859.4502</v>
      </c>
    </row>
    <row r="178" spans="1:5" outlineLevel="2">
      <c r="A178" s="24" t="s">
        <v>152</v>
      </c>
      <c r="B178" s="25" t="s">
        <v>153</v>
      </c>
      <c r="C178" s="25" t="s">
        <v>154</v>
      </c>
      <c r="D178" s="25">
        <v>2025</v>
      </c>
      <c r="E178" s="26">
        <v>8708103685.2405396</v>
      </c>
    </row>
    <row r="179" spans="1:5" outlineLevel="2">
      <c r="A179" s="24" t="s">
        <v>155</v>
      </c>
      <c r="B179" s="25" t="s">
        <v>153</v>
      </c>
      <c r="C179" s="25" t="s">
        <v>156</v>
      </c>
      <c r="D179" s="25">
        <v>2025</v>
      </c>
      <c r="E179" s="26">
        <v>4032453460.918169</v>
      </c>
    </row>
    <row r="180" spans="1:5" outlineLevel="2">
      <c r="A180" s="24" t="s">
        <v>157</v>
      </c>
      <c r="B180" s="25" t="s">
        <v>153</v>
      </c>
      <c r="C180" s="25" t="s">
        <v>158</v>
      </c>
      <c r="D180" s="25">
        <v>2025</v>
      </c>
      <c r="E180" s="26">
        <v>1728194340.3935008</v>
      </c>
    </row>
    <row r="181" spans="1:5" outlineLevel="2">
      <c r="A181" s="24" t="s">
        <v>159</v>
      </c>
      <c r="B181" s="25" t="s">
        <v>153</v>
      </c>
      <c r="C181" s="25" t="s">
        <v>160</v>
      </c>
      <c r="D181" s="25">
        <v>2025</v>
      </c>
      <c r="E181" s="26">
        <v>1036559848.7081801</v>
      </c>
    </row>
    <row r="182" spans="1:5" outlineLevel="1">
      <c r="A182" s="24"/>
      <c r="B182" s="28" t="s">
        <v>172</v>
      </c>
      <c r="C182" s="25"/>
      <c r="D182" s="25">
        <v>2025</v>
      </c>
      <c r="E182" s="26">
        <f>SUBTOTAL(9,E178:E181)</f>
        <v>15505311335.260389</v>
      </c>
    </row>
    <row r="183" spans="1:5" outlineLevel="2">
      <c r="A183" s="24" t="s">
        <v>161</v>
      </c>
      <c r="B183" s="25" t="s">
        <v>162</v>
      </c>
      <c r="C183" s="25" t="s">
        <v>163</v>
      </c>
      <c r="D183" s="25">
        <v>2025</v>
      </c>
      <c r="E183" s="26">
        <v>12579015062.21347</v>
      </c>
    </row>
    <row r="184" spans="1:5" outlineLevel="2">
      <c r="A184" s="24" t="s">
        <v>164</v>
      </c>
      <c r="B184" s="25" t="s">
        <v>162</v>
      </c>
      <c r="C184" s="25" t="s">
        <v>165</v>
      </c>
      <c r="D184" s="25">
        <v>2025</v>
      </c>
      <c r="E184" s="26">
        <v>10040454842.85557</v>
      </c>
    </row>
    <row r="185" spans="1:5" outlineLevel="2">
      <c r="A185" s="24" t="s">
        <v>166</v>
      </c>
      <c r="B185" s="25" t="s">
        <v>162</v>
      </c>
      <c r="C185" s="25" t="s">
        <v>167</v>
      </c>
      <c r="D185" s="25">
        <v>2025</v>
      </c>
      <c r="E185" s="26">
        <v>1434350691.8365102</v>
      </c>
    </row>
    <row r="186" spans="1:5" outlineLevel="1">
      <c r="B186" s="29" t="s">
        <v>173</v>
      </c>
      <c r="D186" s="25">
        <v>2025</v>
      </c>
      <c r="E186" s="30">
        <f>SUBTOTAL(9,E183:E185)</f>
        <v>24053820596.905548</v>
      </c>
    </row>
    <row r="187" spans="1:5">
      <c r="B187" s="29" t="s">
        <v>279</v>
      </c>
      <c r="E187" s="30">
        <f>SUBTOTAL(9,E2:E185)</f>
        <v>3948953027915.8989</v>
      </c>
    </row>
  </sheetData>
  <autoFilter ref="A1:E186" xr:uid="{F9BE2FB4-6516-41B7-95D9-CE8D650DF15E}"/>
  <dataConsolid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B79A-ACE3-4A2D-83A3-75AE4E0B5AB4}">
  <dimension ref="B1:T127"/>
  <sheetViews>
    <sheetView showGridLines="0" zoomScale="59" zoomScaleNormal="100" workbookViewId="0">
      <selection activeCell="J16" sqref="J16"/>
    </sheetView>
  </sheetViews>
  <sheetFormatPr baseColWidth="10" defaultColWidth="10.85546875" defaultRowHeight="12.75"/>
  <cols>
    <col min="1" max="1" width="4.85546875" style="155" customWidth="1"/>
    <col min="2" max="2" width="10.85546875" style="155"/>
    <col min="3" max="3" width="25.28515625" style="155" customWidth="1"/>
    <col min="4" max="4" width="10.85546875" style="155"/>
    <col min="5" max="5" width="11" style="155" bestFit="1" customWidth="1"/>
    <col min="6" max="6" width="17.5703125" style="155" bestFit="1" customWidth="1"/>
    <col min="7" max="7" width="15.5703125" style="155" bestFit="1" customWidth="1"/>
    <col min="8" max="8" width="4.28515625" style="155" customWidth="1"/>
    <col min="9" max="9" width="16.7109375" style="155" customWidth="1"/>
    <col min="10" max="10" width="12.85546875" style="164" bestFit="1" customWidth="1"/>
    <col min="11" max="11" width="6.5703125" style="155" customWidth="1"/>
    <col min="12" max="12" width="6.7109375" style="155" bestFit="1" customWidth="1"/>
    <col min="13" max="13" width="30.7109375" style="155" customWidth="1"/>
    <col min="14" max="14" width="10.85546875" style="155"/>
    <col min="15" max="15" width="11" style="155" bestFit="1" customWidth="1"/>
    <col min="16" max="16" width="17.5703125" style="155" bestFit="1" customWidth="1"/>
    <col min="17" max="17" width="15.5703125" style="155" bestFit="1" customWidth="1"/>
    <col min="18" max="18" width="14.28515625" style="155" customWidth="1"/>
    <col min="19" max="19" width="16.7109375" style="155" customWidth="1"/>
    <col min="20" max="20" width="11.28515625" style="164" bestFit="1" customWidth="1"/>
    <col min="21" max="16384" width="10.85546875" style="155"/>
  </cols>
  <sheetData>
    <row r="1" spans="2:20">
      <c r="B1" s="31" t="s">
        <v>181</v>
      </c>
      <c r="C1" s="153"/>
      <c r="D1" s="153"/>
      <c r="E1" s="153"/>
      <c r="F1" s="153"/>
      <c r="G1" s="153"/>
      <c r="H1" s="154"/>
      <c r="I1" s="154"/>
      <c r="J1" s="154"/>
      <c r="K1" s="154"/>
      <c r="L1" s="154"/>
      <c r="M1" s="154"/>
      <c r="N1" s="154"/>
      <c r="O1" s="154"/>
      <c r="P1" s="154"/>
      <c r="Q1" s="154"/>
      <c r="T1" s="155"/>
    </row>
    <row r="2" spans="2:20">
      <c r="B2" s="117" t="s">
        <v>180</v>
      </c>
      <c r="C2" s="153"/>
      <c r="D2" s="153"/>
      <c r="E2" s="153"/>
      <c r="F2" s="153"/>
      <c r="G2" s="153"/>
      <c r="H2" s="154"/>
      <c r="I2" s="154"/>
      <c r="J2" s="154"/>
      <c r="K2" s="154"/>
      <c r="L2" s="154"/>
      <c r="M2" s="154"/>
      <c r="N2" s="154"/>
      <c r="O2" s="154"/>
      <c r="P2" s="154"/>
      <c r="Q2" s="154"/>
      <c r="T2" s="155"/>
    </row>
    <row r="3" spans="2:20" ht="12" customHeight="1">
      <c r="B3" s="135"/>
      <c r="C3" s="156"/>
      <c r="D3" s="156"/>
      <c r="E3" s="156"/>
      <c r="F3" s="156"/>
      <c r="G3" s="156"/>
      <c r="J3" s="155"/>
      <c r="T3" s="155"/>
    </row>
    <row r="4" spans="2:20" s="123" customFormat="1" ht="20.100000000000001" customHeight="1">
      <c r="B4" s="157" t="s">
        <v>182</v>
      </c>
      <c r="C4" s="157"/>
      <c r="D4" s="157"/>
      <c r="E4" s="157"/>
      <c r="F4" s="157"/>
      <c r="G4" s="157"/>
      <c r="J4" s="158"/>
      <c r="L4" s="157" t="s">
        <v>191</v>
      </c>
      <c r="M4" s="157"/>
      <c r="N4" s="157"/>
      <c r="O4" s="157"/>
      <c r="P4" s="157"/>
      <c r="Q4" s="157"/>
      <c r="T4" s="158"/>
    </row>
    <row r="5" spans="2:20">
      <c r="B5" s="159" t="s">
        <v>95</v>
      </c>
      <c r="C5" s="160" t="s">
        <v>96</v>
      </c>
      <c r="D5" s="160" t="s">
        <v>97</v>
      </c>
      <c r="E5" s="160" t="s">
        <v>98</v>
      </c>
      <c r="F5" s="160" t="s">
        <v>91</v>
      </c>
      <c r="G5" s="160" t="s">
        <v>174</v>
      </c>
      <c r="I5" s="67" t="s">
        <v>91</v>
      </c>
      <c r="J5" s="99"/>
      <c r="L5" s="159" t="s">
        <v>95</v>
      </c>
      <c r="M5" s="160" t="s">
        <v>96</v>
      </c>
      <c r="N5" s="160" t="s">
        <v>97</v>
      </c>
      <c r="O5" s="160" t="s">
        <v>98</v>
      </c>
      <c r="P5" s="160" t="s">
        <v>91</v>
      </c>
      <c r="Q5" s="160" t="s">
        <v>174</v>
      </c>
      <c r="S5" s="67" t="s">
        <v>91</v>
      </c>
      <c r="T5" s="99"/>
    </row>
    <row r="6" spans="2:20">
      <c r="B6" s="155" t="s">
        <v>99</v>
      </c>
      <c r="C6" s="161" t="s">
        <v>100</v>
      </c>
      <c r="D6" s="161" t="s">
        <v>101</v>
      </c>
      <c r="E6" s="161">
        <v>2021</v>
      </c>
      <c r="F6" s="162">
        <v>8209886328.73423</v>
      </c>
      <c r="G6" s="163">
        <f t="shared" ref="G6:G43" si="0">+F6/$F$43</f>
        <v>1.211898749770822E-2</v>
      </c>
      <c r="J6" s="164">
        <f>G6*$J$5</f>
        <v>0</v>
      </c>
      <c r="L6" s="155" t="s">
        <v>99</v>
      </c>
      <c r="M6" s="161" t="s">
        <v>100</v>
      </c>
      <c r="N6" s="161" t="s">
        <v>101</v>
      </c>
      <c r="O6" s="161">
        <v>2022</v>
      </c>
      <c r="P6" s="162">
        <v>8625012284.7622795</v>
      </c>
      <c r="Q6" s="163">
        <f>+P6/$P$43</f>
        <v>9.8735466646859629E-3</v>
      </c>
      <c r="T6" s="164">
        <f>Q6*$T$5</f>
        <v>0</v>
      </c>
    </row>
    <row r="7" spans="2:20">
      <c r="B7" s="165" t="s">
        <v>102</v>
      </c>
      <c r="C7" s="166" t="s">
        <v>100</v>
      </c>
      <c r="D7" s="166" t="s">
        <v>103</v>
      </c>
      <c r="E7" s="166">
        <v>2021</v>
      </c>
      <c r="F7" s="167">
        <v>544599940.99178004</v>
      </c>
      <c r="G7" s="163">
        <f t="shared" si="0"/>
        <v>8.039088011526196E-4</v>
      </c>
      <c r="J7" s="164">
        <f t="shared" ref="J7:J42" si="1">G7*$J$5</f>
        <v>0</v>
      </c>
      <c r="L7" s="165" t="s">
        <v>102</v>
      </c>
      <c r="M7" s="166" t="s">
        <v>100</v>
      </c>
      <c r="N7" s="166" t="s">
        <v>103</v>
      </c>
      <c r="O7" s="166">
        <v>2022</v>
      </c>
      <c r="P7" s="167">
        <v>550648239.22139001</v>
      </c>
      <c r="Q7" s="163">
        <f t="shared" ref="Q7:Q43" si="2">+P7/$P$43</f>
        <v>6.3035864834474294E-4</v>
      </c>
      <c r="T7" s="164">
        <f t="shared" ref="T7:T43" si="3">Q7*$T$5</f>
        <v>0</v>
      </c>
    </row>
    <row r="8" spans="2:20">
      <c r="B8" s="165" t="s">
        <v>104</v>
      </c>
      <c r="C8" s="166" t="s">
        <v>100</v>
      </c>
      <c r="D8" s="166" t="s">
        <v>105</v>
      </c>
      <c r="E8" s="166">
        <v>2021</v>
      </c>
      <c r="F8" s="167">
        <v>163729586463.3338</v>
      </c>
      <c r="G8" s="163">
        <f t="shared" si="0"/>
        <v>0.2416887069933405</v>
      </c>
      <c r="J8" s="164">
        <f t="shared" si="1"/>
        <v>0</v>
      </c>
      <c r="L8" s="165" t="s">
        <v>104</v>
      </c>
      <c r="M8" s="166" t="s">
        <v>100</v>
      </c>
      <c r="N8" s="166" t="s">
        <v>105</v>
      </c>
      <c r="O8" s="166">
        <v>2022</v>
      </c>
      <c r="P8" s="167">
        <v>194814365888.58835</v>
      </c>
      <c r="Q8" s="163">
        <f t="shared" si="2"/>
        <v>0.22301518757839051</v>
      </c>
      <c r="T8" s="164">
        <f t="shared" si="3"/>
        <v>0</v>
      </c>
    </row>
    <row r="9" spans="2:20">
      <c r="B9" s="165" t="s">
        <v>106</v>
      </c>
      <c r="C9" s="166" t="s">
        <v>100</v>
      </c>
      <c r="D9" s="166" t="s">
        <v>107</v>
      </c>
      <c r="E9" s="166">
        <v>2021</v>
      </c>
      <c r="F9" s="167">
        <v>279463491.18273002</v>
      </c>
      <c r="G9" s="163">
        <f t="shared" si="0"/>
        <v>4.1252880004631718E-4</v>
      </c>
      <c r="J9" s="164">
        <f t="shared" si="1"/>
        <v>0</v>
      </c>
      <c r="L9" s="165" t="s">
        <v>106</v>
      </c>
      <c r="M9" s="166" t="s">
        <v>100</v>
      </c>
      <c r="N9" s="166" t="s">
        <v>107</v>
      </c>
      <c r="O9" s="166">
        <v>2022</v>
      </c>
      <c r="P9" s="167">
        <v>287732041.07704997</v>
      </c>
      <c r="Q9" s="163">
        <f t="shared" si="2"/>
        <v>3.2938338412788617E-4</v>
      </c>
      <c r="T9" s="164">
        <f t="shared" si="3"/>
        <v>0</v>
      </c>
    </row>
    <row r="10" spans="2:20">
      <c r="B10" s="165" t="s">
        <v>108</v>
      </c>
      <c r="C10" s="166" t="s">
        <v>100</v>
      </c>
      <c r="D10" s="166" t="s">
        <v>109</v>
      </c>
      <c r="E10" s="166">
        <v>2021</v>
      </c>
      <c r="F10" s="167">
        <v>95528354.836840004</v>
      </c>
      <c r="G10" s="163">
        <f t="shared" si="0"/>
        <v>1.4101375970241838E-4</v>
      </c>
      <c r="J10" s="164">
        <f t="shared" si="1"/>
        <v>0</v>
      </c>
      <c r="L10" s="165" t="s">
        <v>108</v>
      </c>
      <c r="M10" s="166" t="s">
        <v>100</v>
      </c>
      <c r="N10" s="166" t="s">
        <v>109</v>
      </c>
      <c r="O10" s="166">
        <v>2022</v>
      </c>
      <c r="P10" s="167">
        <v>101144427.36272</v>
      </c>
      <c r="Q10" s="163">
        <f t="shared" si="2"/>
        <v>1.157858320043286E-4</v>
      </c>
      <c r="T10" s="164">
        <f t="shared" si="3"/>
        <v>0</v>
      </c>
    </row>
    <row r="11" spans="2:20">
      <c r="B11" s="165" t="s">
        <v>110</v>
      </c>
      <c r="C11" s="166" t="s">
        <v>100</v>
      </c>
      <c r="D11" s="166" t="s">
        <v>111</v>
      </c>
      <c r="E11" s="166">
        <v>2021</v>
      </c>
      <c r="F11" s="167">
        <v>6576659651.9146099</v>
      </c>
      <c r="G11" s="163">
        <f t="shared" si="0"/>
        <v>9.7081071414204922E-3</v>
      </c>
      <c r="J11" s="164">
        <f t="shared" si="1"/>
        <v>0</v>
      </c>
      <c r="L11" s="165" t="s">
        <v>110</v>
      </c>
      <c r="M11" s="166" t="s">
        <v>100</v>
      </c>
      <c r="N11" s="166" t="s">
        <v>111</v>
      </c>
      <c r="O11" s="166">
        <v>2022</v>
      </c>
      <c r="P11" s="167">
        <v>5994170182.52139</v>
      </c>
      <c r="Q11" s="163">
        <f t="shared" si="2"/>
        <v>6.8618706917963918E-3</v>
      </c>
      <c r="T11" s="164">
        <f t="shared" si="3"/>
        <v>0</v>
      </c>
    </row>
    <row r="12" spans="2:20">
      <c r="B12" s="165" t="s">
        <v>112</v>
      </c>
      <c r="C12" s="166" t="s">
        <v>100</v>
      </c>
      <c r="D12" s="166" t="s">
        <v>113</v>
      </c>
      <c r="E12" s="166">
        <v>2021</v>
      </c>
      <c r="F12" s="167">
        <v>2311687245.5581799</v>
      </c>
      <c r="G12" s="163">
        <f t="shared" si="0"/>
        <v>3.4123869327494609E-3</v>
      </c>
      <c r="J12" s="164">
        <f t="shared" si="1"/>
        <v>0</v>
      </c>
      <c r="L12" s="165" t="s">
        <v>112</v>
      </c>
      <c r="M12" s="166" t="s">
        <v>100</v>
      </c>
      <c r="N12" s="166" t="s">
        <v>113</v>
      </c>
      <c r="O12" s="166">
        <v>2022</v>
      </c>
      <c r="P12" s="167">
        <v>2530758402.7623301</v>
      </c>
      <c r="Q12" s="163">
        <f t="shared" si="2"/>
        <v>2.8971044169832949E-3</v>
      </c>
      <c r="T12" s="164">
        <f t="shared" si="3"/>
        <v>0</v>
      </c>
    </row>
    <row r="13" spans="2:20">
      <c r="B13" s="165" t="s">
        <v>114</v>
      </c>
      <c r="C13" s="166" t="s">
        <v>100</v>
      </c>
      <c r="D13" s="166" t="s">
        <v>115</v>
      </c>
      <c r="E13" s="166">
        <v>2021</v>
      </c>
      <c r="F13" s="167">
        <v>8242908452.2110701</v>
      </c>
      <c r="G13" s="163">
        <f t="shared" si="0"/>
        <v>1.2167732959647556E-2</v>
      </c>
      <c r="J13" s="164">
        <f t="shared" si="1"/>
        <v>0</v>
      </c>
      <c r="L13" s="165" t="s">
        <v>114</v>
      </c>
      <c r="M13" s="166" t="s">
        <v>100</v>
      </c>
      <c r="N13" s="166" t="s">
        <v>115</v>
      </c>
      <c r="O13" s="166">
        <v>2022</v>
      </c>
      <c r="P13" s="167">
        <v>8778712499.9489498</v>
      </c>
      <c r="Q13" s="163">
        <f t="shared" si="2"/>
        <v>1.0049496123876756E-2</v>
      </c>
      <c r="T13" s="164">
        <f t="shared" si="3"/>
        <v>0</v>
      </c>
    </row>
    <row r="14" spans="2:20" s="173" customFormat="1">
      <c r="B14" s="168"/>
      <c r="C14" s="169" t="s">
        <v>169</v>
      </c>
      <c r="D14" s="169" t="s">
        <v>169</v>
      </c>
      <c r="E14" s="170">
        <v>2021</v>
      </c>
      <c r="F14" s="171">
        <v>189990319928.76324</v>
      </c>
      <c r="G14" s="172">
        <f t="shared" si="0"/>
        <v>0.28045337288576755</v>
      </c>
      <c r="I14" s="155"/>
      <c r="J14" s="174">
        <f t="shared" si="1"/>
        <v>0</v>
      </c>
      <c r="L14" s="168"/>
      <c r="M14" s="170" t="s">
        <v>169</v>
      </c>
      <c r="N14" s="170"/>
      <c r="O14" s="170">
        <v>2022</v>
      </c>
      <c r="P14" s="171">
        <v>221682543966.24448</v>
      </c>
      <c r="Q14" s="172">
        <f t="shared" si="2"/>
        <v>0.25377273334020989</v>
      </c>
      <c r="T14" s="174">
        <f t="shared" si="3"/>
        <v>0</v>
      </c>
    </row>
    <row r="15" spans="2:20">
      <c r="B15" s="165" t="s">
        <v>116</v>
      </c>
      <c r="C15" s="166" t="s">
        <v>117</v>
      </c>
      <c r="D15" s="166" t="s">
        <v>118</v>
      </c>
      <c r="E15" s="166">
        <v>2021</v>
      </c>
      <c r="F15" s="167">
        <v>8271298953.8863811</v>
      </c>
      <c r="G15" s="163">
        <f t="shared" si="0"/>
        <v>1.2209641473490501E-2</v>
      </c>
      <c r="J15" s="164">
        <f t="shared" si="1"/>
        <v>0</v>
      </c>
      <c r="L15" s="165" t="s">
        <v>116</v>
      </c>
      <c r="M15" s="166" t="s">
        <v>117</v>
      </c>
      <c r="N15" s="166" t="s">
        <v>118</v>
      </c>
      <c r="O15" s="166">
        <v>2022</v>
      </c>
      <c r="P15" s="167">
        <v>8819202190.0425167</v>
      </c>
      <c r="Q15" s="163">
        <f t="shared" si="2"/>
        <v>1.0095846996360009E-2</v>
      </c>
      <c r="T15" s="164">
        <f t="shared" si="3"/>
        <v>0</v>
      </c>
    </row>
    <row r="16" spans="2:20">
      <c r="B16" s="165" t="s">
        <v>119</v>
      </c>
      <c r="C16" s="166" t="s">
        <v>117</v>
      </c>
      <c r="D16" s="166" t="s">
        <v>120</v>
      </c>
      <c r="E16" s="166">
        <v>2021</v>
      </c>
      <c r="F16" s="167">
        <v>90345948299.590683</v>
      </c>
      <c r="G16" s="163">
        <f t="shared" si="0"/>
        <v>0.13336377314740977</v>
      </c>
      <c r="J16" s="164">
        <f t="shared" si="1"/>
        <v>0</v>
      </c>
      <c r="L16" s="165" t="s">
        <v>119</v>
      </c>
      <c r="M16" s="166" t="s">
        <v>117</v>
      </c>
      <c r="N16" s="166" t="s">
        <v>120</v>
      </c>
      <c r="O16" s="166">
        <v>2022</v>
      </c>
      <c r="P16" s="167">
        <v>97138787598.696976</v>
      </c>
      <c r="Q16" s="163">
        <f t="shared" si="2"/>
        <v>0.11120034623036915</v>
      </c>
      <c r="T16" s="164">
        <f t="shared" si="3"/>
        <v>0</v>
      </c>
    </row>
    <row r="17" spans="2:20" s="173" customFormat="1">
      <c r="B17" s="168"/>
      <c r="C17" s="170" t="s">
        <v>170</v>
      </c>
      <c r="D17" s="170" t="s">
        <v>170</v>
      </c>
      <c r="E17" s="170">
        <v>2021</v>
      </c>
      <c r="F17" s="171">
        <v>98617247253.477066</v>
      </c>
      <c r="G17" s="172">
        <f t="shared" si="0"/>
        <v>0.14557341462090026</v>
      </c>
      <c r="I17" s="155"/>
      <c r="J17" s="174">
        <f t="shared" si="1"/>
        <v>0</v>
      </c>
      <c r="L17" s="168"/>
      <c r="M17" s="170" t="s">
        <v>170</v>
      </c>
      <c r="N17" s="170"/>
      <c r="O17" s="170">
        <v>2022</v>
      </c>
      <c r="P17" s="171">
        <v>105957989788.73949</v>
      </c>
      <c r="Q17" s="172">
        <f t="shared" si="2"/>
        <v>0.12129619322672915</v>
      </c>
      <c r="T17" s="174">
        <f t="shared" si="3"/>
        <v>0</v>
      </c>
    </row>
    <row r="18" spans="2:20">
      <c r="B18" s="165" t="s">
        <v>121</v>
      </c>
      <c r="C18" s="166" t="s">
        <v>122</v>
      </c>
      <c r="D18" s="166" t="s">
        <v>123</v>
      </c>
      <c r="E18" s="166">
        <v>2021</v>
      </c>
      <c r="F18" s="167">
        <v>60399697364.771751</v>
      </c>
      <c r="G18" s="163">
        <f t="shared" si="0"/>
        <v>8.9158746896058835E-2</v>
      </c>
      <c r="J18" s="164">
        <f t="shared" si="1"/>
        <v>0</v>
      </c>
      <c r="L18" s="165" t="s">
        <v>121</v>
      </c>
      <c r="M18" s="166" t="s">
        <v>122</v>
      </c>
      <c r="N18" s="166" t="s">
        <v>123</v>
      </c>
      <c r="O18" s="166">
        <v>2022</v>
      </c>
      <c r="P18" s="167">
        <v>81169539288.444717</v>
      </c>
      <c r="Q18" s="163">
        <f t="shared" si="2"/>
        <v>9.2919431005495476E-2</v>
      </c>
      <c r="T18" s="164">
        <f t="shared" si="3"/>
        <v>0</v>
      </c>
    </row>
    <row r="19" spans="2:20">
      <c r="B19" s="165" t="s">
        <v>124</v>
      </c>
      <c r="C19" s="166" t="s">
        <v>122</v>
      </c>
      <c r="D19" s="166" t="s">
        <v>125</v>
      </c>
      <c r="E19" s="166">
        <v>2021</v>
      </c>
      <c r="F19" s="167">
        <v>6623860524.8118601</v>
      </c>
      <c r="G19" s="163">
        <f t="shared" si="0"/>
        <v>9.7777825017870083E-3</v>
      </c>
      <c r="J19" s="164">
        <f t="shared" si="1"/>
        <v>0</v>
      </c>
      <c r="L19" s="165" t="s">
        <v>124</v>
      </c>
      <c r="M19" s="166" t="s">
        <v>122</v>
      </c>
      <c r="N19" s="166" t="s">
        <v>125</v>
      </c>
      <c r="O19" s="166">
        <v>2022</v>
      </c>
      <c r="P19" s="167">
        <v>8924512556.3200207</v>
      </c>
      <c r="Q19" s="163">
        <f t="shared" si="2"/>
        <v>1.0216401817777838E-2</v>
      </c>
      <c r="T19" s="164">
        <f t="shared" si="3"/>
        <v>0</v>
      </c>
    </row>
    <row r="20" spans="2:20">
      <c r="B20" s="165" t="s">
        <v>126</v>
      </c>
      <c r="C20" s="166" t="s">
        <v>122</v>
      </c>
      <c r="D20" s="166" t="s">
        <v>127</v>
      </c>
      <c r="E20" s="166">
        <v>2021</v>
      </c>
      <c r="F20" s="167">
        <v>74399145309.480011</v>
      </c>
      <c r="G20" s="163">
        <f t="shared" si="0"/>
        <v>0.10982397024061809</v>
      </c>
      <c r="J20" s="164">
        <f t="shared" si="1"/>
        <v>0</v>
      </c>
      <c r="L20" s="165" t="s">
        <v>126</v>
      </c>
      <c r="M20" s="166" t="s">
        <v>122</v>
      </c>
      <c r="N20" s="166" t="s">
        <v>127</v>
      </c>
      <c r="O20" s="166">
        <v>2022</v>
      </c>
      <c r="P20" s="167">
        <v>74473026135.496002</v>
      </c>
      <c r="Q20" s="163">
        <f t="shared" si="2"/>
        <v>8.5253547998797266E-2</v>
      </c>
      <c r="T20" s="164">
        <f t="shared" si="3"/>
        <v>0</v>
      </c>
    </row>
    <row r="21" spans="2:20">
      <c r="B21" s="165" t="s">
        <v>128</v>
      </c>
      <c r="C21" s="166" t="s">
        <v>122</v>
      </c>
      <c r="D21" s="166" t="s">
        <v>129</v>
      </c>
      <c r="E21" s="166">
        <v>2021</v>
      </c>
      <c r="F21" s="167">
        <v>4131222267.6371799</v>
      </c>
      <c r="G21" s="163">
        <f t="shared" si="0"/>
        <v>6.0982855312526367E-3</v>
      </c>
      <c r="J21" s="164">
        <f t="shared" si="1"/>
        <v>0</v>
      </c>
      <c r="L21" s="165" t="s">
        <v>128</v>
      </c>
      <c r="M21" s="166" t="s">
        <v>122</v>
      </c>
      <c r="N21" s="166" t="s">
        <v>129</v>
      </c>
      <c r="O21" s="166">
        <v>2022</v>
      </c>
      <c r="P21" s="167">
        <v>31556614456.26815</v>
      </c>
      <c r="Q21" s="163">
        <f t="shared" si="2"/>
        <v>3.6124668015131388E-2</v>
      </c>
      <c r="T21" s="164">
        <f t="shared" si="3"/>
        <v>0</v>
      </c>
    </row>
    <row r="22" spans="2:20">
      <c r="B22" s="165" t="s">
        <v>130</v>
      </c>
      <c r="C22" s="166" t="s">
        <v>122</v>
      </c>
      <c r="D22" s="166" t="s">
        <v>131</v>
      </c>
      <c r="E22" s="166">
        <v>2021</v>
      </c>
      <c r="F22" s="167">
        <v>66425753496.958298</v>
      </c>
      <c r="G22" s="163">
        <f t="shared" si="0"/>
        <v>9.8054083080051549E-2</v>
      </c>
      <c r="J22" s="164">
        <f t="shared" si="1"/>
        <v>0</v>
      </c>
      <c r="L22" s="165" t="s">
        <v>130</v>
      </c>
      <c r="M22" s="166" t="s">
        <v>122</v>
      </c>
      <c r="N22" s="166" t="s">
        <v>131</v>
      </c>
      <c r="O22" s="166">
        <v>2022</v>
      </c>
      <c r="P22" s="167">
        <v>70694497022.892502</v>
      </c>
      <c r="Q22" s="163">
        <f t="shared" si="2"/>
        <v>8.0928048824369908E-2</v>
      </c>
      <c r="T22" s="164">
        <f t="shared" si="3"/>
        <v>0</v>
      </c>
    </row>
    <row r="23" spans="2:20">
      <c r="B23" s="165" t="s">
        <v>132</v>
      </c>
      <c r="C23" s="166" t="s">
        <v>122</v>
      </c>
      <c r="D23" s="166" t="s">
        <v>133</v>
      </c>
      <c r="E23" s="166">
        <v>2021</v>
      </c>
      <c r="F23" s="167">
        <v>68734997.795829996</v>
      </c>
      <c r="G23" s="163">
        <f t="shared" si="0"/>
        <v>1.0146286386782341E-4</v>
      </c>
      <c r="J23" s="164">
        <f t="shared" si="1"/>
        <v>0</v>
      </c>
      <c r="L23" s="165" t="s">
        <v>132</v>
      </c>
      <c r="M23" s="166" t="s">
        <v>122</v>
      </c>
      <c r="N23" s="166" t="s">
        <v>133</v>
      </c>
      <c r="O23" s="166">
        <v>2022</v>
      </c>
      <c r="P23" s="167">
        <v>70768209.019409999</v>
      </c>
      <c r="Q23" s="163">
        <f t="shared" si="2"/>
        <v>8.1012431178079531E-5</v>
      </c>
      <c r="T23" s="164">
        <f t="shared" si="3"/>
        <v>0</v>
      </c>
    </row>
    <row r="24" spans="2:20">
      <c r="B24" s="165" t="s">
        <v>134</v>
      </c>
      <c r="C24" s="166" t="s">
        <v>122</v>
      </c>
      <c r="D24" s="166" t="s">
        <v>135</v>
      </c>
      <c r="E24" s="166">
        <v>2021</v>
      </c>
      <c r="F24" s="167">
        <v>18496901914.260201</v>
      </c>
      <c r="G24" s="163">
        <f t="shared" si="0"/>
        <v>2.7304120187473451E-2</v>
      </c>
      <c r="J24" s="164">
        <f t="shared" si="1"/>
        <v>0</v>
      </c>
      <c r="L24" s="165" t="s">
        <v>134</v>
      </c>
      <c r="M24" s="166" t="s">
        <v>122</v>
      </c>
      <c r="N24" s="166" t="s">
        <v>135</v>
      </c>
      <c r="O24" s="166">
        <v>2022</v>
      </c>
      <c r="P24" s="167">
        <v>19623468991.921799</v>
      </c>
      <c r="Q24" s="163">
        <f t="shared" si="2"/>
        <v>2.2464111402723419E-2</v>
      </c>
      <c r="T24" s="164">
        <f t="shared" si="3"/>
        <v>0</v>
      </c>
    </row>
    <row r="25" spans="2:20">
      <c r="B25" s="165" t="s">
        <v>136</v>
      </c>
      <c r="C25" s="166" t="s">
        <v>122</v>
      </c>
      <c r="D25" s="166" t="s">
        <v>137</v>
      </c>
      <c r="E25" s="166">
        <v>2021</v>
      </c>
      <c r="F25" s="167">
        <v>4675585471.4786301</v>
      </c>
      <c r="G25" s="163">
        <f t="shared" si="0"/>
        <v>6.901844873904832E-3</v>
      </c>
      <c r="J25" s="164">
        <f t="shared" si="1"/>
        <v>0</v>
      </c>
      <c r="L25" s="165" t="s">
        <v>136</v>
      </c>
      <c r="M25" s="166" t="s">
        <v>122</v>
      </c>
      <c r="N25" s="166" t="s">
        <v>137</v>
      </c>
      <c r="O25" s="166">
        <v>2022</v>
      </c>
      <c r="P25" s="167">
        <v>3976720459.4007702</v>
      </c>
      <c r="Q25" s="163">
        <f t="shared" si="2"/>
        <v>4.5523801859010454E-3</v>
      </c>
      <c r="T25" s="164">
        <f t="shared" si="3"/>
        <v>0</v>
      </c>
    </row>
    <row r="26" spans="2:20">
      <c r="B26" s="165" t="s">
        <v>138</v>
      </c>
      <c r="C26" s="166" t="s">
        <v>122</v>
      </c>
      <c r="D26" s="166" t="s">
        <v>139</v>
      </c>
      <c r="E26" s="166">
        <v>2021</v>
      </c>
      <c r="F26" s="167">
        <v>1594300766.5701101</v>
      </c>
      <c r="G26" s="163">
        <f t="shared" si="0"/>
        <v>2.3534200455402263E-3</v>
      </c>
      <c r="J26" s="164">
        <f t="shared" si="1"/>
        <v>0</v>
      </c>
      <c r="L26" s="165" t="s">
        <v>138</v>
      </c>
      <c r="M26" s="166" t="s">
        <v>122</v>
      </c>
      <c r="N26" s="166" t="s">
        <v>139</v>
      </c>
      <c r="O26" s="166">
        <v>2022</v>
      </c>
      <c r="P26" s="167">
        <v>1789848617.3907001</v>
      </c>
      <c r="Q26" s="163">
        <f t="shared" si="2"/>
        <v>2.0489424551605501E-3</v>
      </c>
      <c r="T26" s="164">
        <f t="shared" si="3"/>
        <v>0</v>
      </c>
    </row>
    <row r="27" spans="2:20">
      <c r="B27" s="165" t="s">
        <v>140</v>
      </c>
      <c r="C27" s="166" t="s">
        <v>122</v>
      </c>
      <c r="D27" s="166" t="s">
        <v>141</v>
      </c>
      <c r="E27" s="166">
        <v>2021</v>
      </c>
      <c r="F27" s="167">
        <v>122290679.6304</v>
      </c>
      <c r="G27" s="163">
        <f t="shared" si="0"/>
        <v>1.8051884742179545E-4</v>
      </c>
      <c r="J27" s="164">
        <f t="shared" si="1"/>
        <v>0</v>
      </c>
      <c r="L27" s="165" t="s">
        <v>140</v>
      </c>
      <c r="M27" s="166" t="s">
        <v>122</v>
      </c>
      <c r="N27" s="166" t="s">
        <v>141</v>
      </c>
      <c r="O27" s="166">
        <v>2022</v>
      </c>
      <c r="P27" s="167">
        <v>128954451.47123</v>
      </c>
      <c r="Q27" s="163">
        <f t="shared" si="2"/>
        <v>1.4762156298253477E-4</v>
      </c>
      <c r="T27" s="164">
        <f t="shared" si="3"/>
        <v>0</v>
      </c>
    </row>
    <row r="28" spans="2:20">
      <c r="B28" s="165" t="s">
        <v>142</v>
      </c>
      <c r="C28" s="166" t="s">
        <v>122</v>
      </c>
      <c r="D28" s="166" t="s">
        <v>143</v>
      </c>
      <c r="E28" s="166">
        <v>2021</v>
      </c>
      <c r="F28" s="167">
        <v>1556859499.87626</v>
      </c>
      <c r="G28" s="163">
        <f t="shared" si="0"/>
        <v>2.2981512848299808E-3</v>
      </c>
      <c r="J28" s="164">
        <f t="shared" si="1"/>
        <v>0</v>
      </c>
      <c r="L28" s="165" t="s">
        <v>142</v>
      </c>
      <c r="M28" s="166" t="s">
        <v>122</v>
      </c>
      <c r="N28" s="166" t="s">
        <v>143</v>
      </c>
      <c r="O28" s="166">
        <v>2022</v>
      </c>
      <c r="P28" s="167">
        <v>976005898.81063902</v>
      </c>
      <c r="Q28" s="163">
        <f t="shared" si="2"/>
        <v>1.1172899781187052E-3</v>
      </c>
      <c r="T28" s="164">
        <f t="shared" si="3"/>
        <v>0</v>
      </c>
    </row>
    <row r="29" spans="2:20">
      <c r="B29" s="165" t="s">
        <v>144</v>
      </c>
      <c r="C29" s="166" t="s">
        <v>122</v>
      </c>
      <c r="D29" s="166" t="s">
        <v>145</v>
      </c>
      <c r="E29" s="166">
        <v>2021</v>
      </c>
      <c r="F29" s="167">
        <v>24736677948.471802</v>
      </c>
      <c r="G29" s="163">
        <f t="shared" si="0"/>
        <v>3.651493806231345E-2</v>
      </c>
      <c r="J29" s="164">
        <f t="shared" si="1"/>
        <v>0</v>
      </c>
      <c r="L29" s="165" t="s">
        <v>144</v>
      </c>
      <c r="M29" s="166" t="s">
        <v>122</v>
      </c>
      <c r="N29" s="166" t="s">
        <v>145</v>
      </c>
      <c r="O29" s="166">
        <v>2022</v>
      </c>
      <c r="P29" s="167">
        <v>25479096425.298698</v>
      </c>
      <c r="Q29" s="163">
        <f t="shared" si="2"/>
        <v>2.9167384256792824E-2</v>
      </c>
      <c r="T29" s="164">
        <f t="shared" si="3"/>
        <v>0</v>
      </c>
    </row>
    <row r="30" spans="2:20">
      <c r="B30" s="165" t="s">
        <v>146</v>
      </c>
      <c r="C30" s="166" t="s">
        <v>122</v>
      </c>
      <c r="D30" s="166" t="s">
        <v>147</v>
      </c>
      <c r="E30" s="166">
        <v>2021</v>
      </c>
      <c r="F30" s="167">
        <v>2044291602.24575</v>
      </c>
      <c r="G30" s="163">
        <f t="shared" si="0"/>
        <v>3.0176720331164227E-3</v>
      </c>
      <c r="J30" s="164">
        <f t="shared" si="1"/>
        <v>0</v>
      </c>
      <c r="L30" s="165" t="s">
        <v>146</v>
      </c>
      <c r="M30" s="166" t="s">
        <v>122</v>
      </c>
      <c r="N30" s="166" t="s">
        <v>147</v>
      </c>
      <c r="O30" s="166">
        <v>2022</v>
      </c>
      <c r="P30" s="167">
        <v>2061679675.92185</v>
      </c>
      <c r="Q30" s="163">
        <f t="shared" si="2"/>
        <v>2.3601230718026819E-3</v>
      </c>
      <c r="T30" s="164">
        <f t="shared" si="3"/>
        <v>0</v>
      </c>
    </row>
    <row r="31" spans="2:20">
      <c r="B31" s="165" t="s">
        <v>148</v>
      </c>
      <c r="C31" s="166" t="s">
        <v>122</v>
      </c>
      <c r="D31" s="166" t="s">
        <v>149</v>
      </c>
      <c r="E31" s="166">
        <v>2021</v>
      </c>
      <c r="F31" s="167">
        <v>22710282956.236881</v>
      </c>
      <c r="G31" s="163">
        <f t="shared" si="0"/>
        <v>3.3523684031138597E-2</v>
      </c>
      <c r="J31" s="164">
        <f t="shared" si="1"/>
        <v>0</v>
      </c>
      <c r="L31" s="165" t="s">
        <v>148</v>
      </c>
      <c r="M31" s="166" t="s">
        <v>122</v>
      </c>
      <c r="N31" s="166" t="s">
        <v>149</v>
      </c>
      <c r="O31" s="166">
        <v>2022</v>
      </c>
      <c r="P31" s="167">
        <v>23569541551.646496</v>
      </c>
      <c r="Q31" s="163">
        <f t="shared" si="2"/>
        <v>2.6981407178581253E-2</v>
      </c>
      <c r="T31" s="164">
        <f t="shared" si="3"/>
        <v>0</v>
      </c>
    </row>
    <row r="32" spans="2:20">
      <c r="B32" s="165" t="s">
        <v>150</v>
      </c>
      <c r="C32" s="166" t="s">
        <v>122</v>
      </c>
      <c r="D32" s="166" t="s">
        <v>151</v>
      </c>
      <c r="E32" s="166">
        <v>2021</v>
      </c>
      <c r="F32" s="167">
        <v>25539059018.154869</v>
      </c>
      <c r="G32" s="163">
        <f t="shared" si="0"/>
        <v>3.769936933974212E-2</v>
      </c>
      <c r="J32" s="164">
        <f t="shared" si="1"/>
        <v>0</v>
      </c>
      <c r="L32" s="165" t="s">
        <v>150</v>
      </c>
      <c r="M32" s="166" t="s">
        <v>122</v>
      </c>
      <c r="N32" s="166" t="s">
        <v>151</v>
      </c>
      <c r="O32" s="166">
        <v>2022</v>
      </c>
      <c r="P32" s="167">
        <v>26347892776.364208</v>
      </c>
      <c r="Q32" s="163">
        <f t="shared" si="2"/>
        <v>3.0161945311448831E-2</v>
      </c>
      <c r="T32" s="164">
        <f t="shared" si="3"/>
        <v>0</v>
      </c>
    </row>
    <row r="33" spans="2:20" s="173" customFormat="1">
      <c r="B33" s="168"/>
      <c r="C33" s="170" t="s">
        <v>171</v>
      </c>
      <c r="D33" s="170" t="s">
        <v>171</v>
      </c>
      <c r="E33" s="170">
        <v>2021</v>
      </c>
      <c r="F33" s="171">
        <v>313524663818.37982</v>
      </c>
      <c r="G33" s="172">
        <f t="shared" si="0"/>
        <v>0.46280804981911677</v>
      </c>
      <c r="I33" s="155"/>
      <c r="J33" s="174">
        <f t="shared" si="1"/>
        <v>0</v>
      </c>
      <c r="L33" s="168"/>
      <c r="M33" s="170" t="s">
        <v>171</v>
      </c>
      <c r="N33" s="170"/>
      <c r="O33" s="170">
        <v>2022</v>
      </c>
      <c r="P33" s="171">
        <v>370842166516.66724</v>
      </c>
      <c r="Q33" s="172">
        <f t="shared" si="2"/>
        <v>0.42452431549626185</v>
      </c>
      <c r="T33" s="174">
        <f t="shared" si="3"/>
        <v>0</v>
      </c>
    </row>
    <row r="34" spans="2:20">
      <c r="B34" s="165" t="s">
        <v>152</v>
      </c>
      <c r="C34" s="166" t="s">
        <v>153</v>
      </c>
      <c r="D34" s="166" t="s">
        <v>154</v>
      </c>
      <c r="E34" s="166">
        <v>2021</v>
      </c>
      <c r="F34" s="167">
        <v>3139283616.2175503</v>
      </c>
      <c r="G34" s="163">
        <f t="shared" si="0"/>
        <v>4.6340396655121978E-3</v>
      </c>
      <c r="J34" s="164">
        <f t="shared" si="1"/>
        <v>0</v>
      </c>
      <c r="L34" s="165" t="s">
        <v>152</v>
      </c>
      <c r="M34" s="166" t="s">
        <v>153</v>
      </c>
      <c r="N34" s="166" t="s">
        <v>154</v>
      </c>
      <c r="O34" s="166">
        <v>2022</v>
      </c>
      <c r="P34" s="167">
        <v>9282180255.2089996</v>
      </c>
      <c r="Q34" s="163">
        <f t="shared" si="2"/>
        <v>1.0625844563925593E-2</v>
      </c>
      <c r="T34" s="164">
        <f t="shared" si="3"/>
        <v>0</v>
      </c>
    </row>
    <row r="35" spans="2:20">
      <c r="B35" s="165" t="s">
        <v>155</v>
      </c>
      <c r="C35" s="166" t="s">
        <v>153</v>
      </c>
      <c r="D35" s="166" t="s">
        <v>156</v>
      </c>
      <c r="E35" s="166">
        <v>2021</v>
      </c>
      <c r="F35" s="167">
        <v>3196857255.2523766</v>
      </c>
      <c r="G35" s="163">
        <f t="shared" si="0"/>
        <v>4.719026738867719E-3</v>
      </c>
      <c r="J35" s="164">
        <f t="shared" si="1"/>
        <v>0</v>
      </c>
      <c r="L35" s="165" t="s">
        <v>155</v>
      </c>
      <c r="M35" s="166" t="s">
        <v>153</v>
      </c>
      <c r="N35" s="166" t="s">
        <v>156</v>
      </c>
      <c r="O35" s="166">
        <v>2022</v>
      </c>
      <c r="P35" s="167">
        <v>3317812466.6060429</v>
      </c>
      <c r="Q35" s="163">
        <f t="shared" si="2"/>
        <v>3.7980903831970002E-3</v>
      </c>
      <c r="T35" s="164">
        <f t="shared" si="3"/>
        <v>0</v>
      </c>
    </row>
    <row r="36" spans="2:20">
      <c r="B36" s="165" t="s">
        <v>157</v>
      </c>
      <c r="C36" s="166" t="s">
        <v>153</v>
      </c>
      <c r="D36" s="166" t="s">
        <v>158</v>
      </c>
      <c r="E36" s="166">
        <v>2021</v>
      </c>
      <c r="F36" s="167">
        <v>1370081680.8224471</v>
      </c>
      <c r="G36" s="163">
        <f t="shared" si="0"/>
        <v>2.0224400309433082E-3</v>
      </c>
      <c r="J36" s="164">
        <f t="shared" si="1"/>
        <v>0</v>
      </c>
      <c r="L36" s="165" t="s">
        <v>157</v>
      </c>
      <c r="M36" s="166" t="s">
        <v>153</v>
      </c>
      <c r="N36" s="166" t="s">
        <v>158</v>
      </c>
      <c r="O36" s="166">
        <v>2022</v>
      </c>
      <c r="P36" s="167">
        <v>1421919628.5454469</v>
      </c>
      <c r="Q36" s="163">
        <f t="shared" si="2"/>
        <v>1.6277530213701429E-3</v>
      </c>
      <c r="T36" s="164">
        <f t="shared" si="3"/>
        <v>0</v>
      </c>
    </row>
    <row r="37" spans="2:20">
      <c r="B37" s="165" t="s">
        <v>159</v>
      </c>
      <c r="C37" s="166" t="s">
        <v>153</v>
      </c>
      <c r="D37" s="166" t="s">
        <v>160</v>
      </c>
      <c r="E37" s="166">
        <v>2021</v>
      </c>
      <c r="F37" s="167">
        <v>930873704.96608698</v>
      </c>
      <c r="G37" s="163">
        <f t="shared" si="0"/>
        <v>1.3741051143358082E-3</v>
      </c>
      <c r="J37" s="164">
        <f t="shared" si="1"/>
        <v>0</v>
      </c>
      <c r="L37" s="165" t="s">
        <v>159</v>
      </c>
      <c r="M37" s="166" t="s">
        <v>153</v>
      </c>
      <c r="N37" s="166" t="s">
        <v>160</v>
      </c>
      <c r="O37" s="166">
        <v>2022</v>
      </c>
      <c r="P37" s="167">
        <v>948599099.96566701</v>
      </c>
      <c r="Q37" s="163">
        <f t="shared" si="2"/>
        <v>1.0859158422460453E-3</v>
      </c>
      <c r="T37" s="164">
        <f t="shared" si="3"/>
        <v>0</v>
      </c>
    </row>
    <row r="38" spans="2:20" s="173" customFormat="1">
      <c r="B38" s="168"/>
      <c r="C38" s="170" t="s">
        <v>172</v>
      </c>
      <c r="D38" s="170" t="s">
        <v>172</v>
      </c>
      <c r="E38" s="170">
        <v>2021</v>
      </c>
      <c r="F38" s="171">
        <v>8637096257.258461</v>
      </c>
      <c r="G38" s="172">
        <f t="shared" si="0"/>
        <v>1.2749611549659033E-2</v>
      </c>
      <c r="I38" s="155"/>
      <c r="J38" s="174">
        <f t="shared" si="1"/>
        <v>0</v>
      </c>
      <c r="L38" s="168"/>
      <c r="M38" s="170" t="s">
        <v>172</v>
      </c>
      <c r="N38" s="170"/>
      <c r="O38" s="170">
        <v>2022</v>
      </c>
      <c r="P38" s="171">
        <v>14970511450.326157</v>
      </c>
      <c r="Q38" s="172">
        <f t="shared" si="2"/>
        <v>1.7137603810738779E-2</v>
      </c>
      <c r="T38" s="174">
        <f t="shared" si="3"/>
        <v>0</v>
      </c>
    </row>
    <row r="39" spans="2:20">
      <c r="B39" s="165" t="s">
        <v>161</v>
      </c>
      <c r="C39" s="166" t="s">
        <v>162</v>
      </c>
      <c r="D39" s="166" t="s">
        <v>163</v>
      </c>
      <c r="E39" s="166">
        <v>2021</v>
      </c>
      <c r="F39" s="167">
        <v>24543513677.563782</v>
      </c>
      <c r="G39" s="163">
        <f t="shared" si="0"/>
        <v>3.6229799475687108E-2</v>
      </c>
      <c r="J39" s="164">
        <f t="shared" si="1"/>
        <v>0</v>
      </c>
      <c r="L39" s="165" t="s">
        <v>161</v>
      </c>
      <c r="M39" s="166" t="s">
        <v>162</v>
      </c>
      <c r="N39" s="166" t="s">
        <v>163</v>
      </c>
      <c r="O39" s="166">
        <v>2022</v>
      </c>
      <c r="P39" s="167">
        <v>39046105792.533554</v>
      </c>
      <c r="Q39" s="163">
        <f t="shared" si="2"/>
        <v>4.4698318667666763E-2</v>
      </c>
      <c r="T39" s="164">
        <f t="shared" si="3"/>
        <v>0</v>
      </c>
    </row>
    <row r="40" spans="2:20">
      <c r="B40" s="165" t="s">
        <v>164</v>
      </c>
      <c r="C40" s="166" t="s">
        <v>162</v>
      </c>
      <c r="D40" s="166" t="s">
        <v>165</v>
      </c>
      <c r="E40" s="166">
        <v>2021</v>
      </c>
      <c r="F40" s="167">
        <v>36861223625.37104</v>
      </c>
      <c r="G40" s="163">
        <f t="shared" si="0"/>
        <v>5.441253269276046E-2</v>
      </c>
      <c r="J40" s="164">
        <f t="shared" si="1"/>
        <v>0</v>
      </c>
      <c r="L40" s="165" t="s">
        <v>164</v>
      </c>
      <c r="M40" s="166" t="s">
        <v>162</v>
      </c>
      <c r="N40" s="166" t="s">
        <v>165</v>
      </c>
      <c r="O40" s="166">
        <v>2022</v>
      </c>
      <c r="P40" s="167">
        <v>105917184461.33229</v>
      </c>
      <c r="Q40" s="163">
        <f t="shared" si="2"/>
        <v>0.12124948102609442</v>
      </c>
      <c r="T40" s="164">
        <f t="shared" si="3"/>
        <v>0</v>
      </c>
    </row>
    <row r="41" spans="2:20">
      <c r="B41" s="165" t="s">
        <v>166</v>
      </c>
      <c r="C41" s="166" t="s">
        <v>162</v>
      </c>
      <c r="D41" s="166" t="s">
        <v>167</v>
      </c>
      <c r="E41" s="166">
        <v>2021</v>
      </c>
      <c r="F41" s="167">
        <v>5265889089.3387203</v>
      </c>
      <c r="G41" s="163">
        <f t="shared" si="0"/>
        <v>7.7732189561086377E-3</v>
      </c>
      <c r="J41" s="164">
        <f t="shared" si="1"/>
        <v>0</v>
      </c>
      <c r="L41" s="165" t="s">
        <v>166</v>
      </c>
      <c r="M41" s="166" t="s">
        <v>162</v>
      </c>
      <c r="N41" s="166" t="s">
        <v>167</v>
      </c>
      <c r="O41" s="166">
        <v>2022</v>
      </c>
      <c r="P41" s="167">
        <v>15131026351.6189</v>
      </c>
      <c r="Q41" s="163">
        <f t="shared" si="2"/>
        <v>1.7321354432299204E-2</v>
      </c>
      <c r="T41" s="164">
        <f t="shared" si="3"/>
        <v>0</v>
      </c>
    </row>
    <row r="42" spans="2:20" s="173" customFormat="1">
      <c r="B42" s="175"/>
      <c r="C42" s="176" t="s">
        <v>173</v>
      </c>
      <c r="D42" s="176" t="s">
        <v>173</v>
      </c>
      <c r="E42" s="176">
        <v>2021</v>
      </c>
      <c r="F42" s="177">
        <v>66670626392.273544</v>
      </c>
      <c r="G42" s="178">
        <f t="shared" si="0"/>
        <v>9.8415551124556203E-2</v>
      </c>
      <c r="I42" s="155"/>
      <c r="J42" s="174">
        <f t="shared" si="1"/>
        <v>0</v>
      </c>
      <c r="L42" s="168"/>
      <c r="M42" s="170" t="s">
        <v>173</v>
      </c>
      <c r="N42" s="170"/>
      <c r="O42" s="170">
        <v>2022</v>
      </c>
      <c r="P42" s="171">
        <v>160094316605.48474</v>
      </c>
      <c r="Q42" s="172">
        <f t="shared" si="2"/>
        <v>0.18326915412606037</v>
      </c>
      <c r="T42" s="174">
        <f t="shared" si="3"/>
        <v>0</v>
      </c>
    </row>
    <row r="43" spans="2:20" s="173" customFormat="1">
      <c r="B43" s="179"/>
      <c r="C43" s="179" t="s">
        <v>175</v>
      </c>
      <c r="D43" s="179"/>
      <c r="E43" s="179"/>
      <c r="F43" s="180">
        <v>677439953650.15222</v>
      </c>
      <c r="G43" s="181">
        <f t="shared" si="0"/>
        <v>1</v>
      </c>
      <c r="I43" s="155"/>
      <c r="J43" s="174">
        <f>G43*$J$5</f>
        <v>0</v>
      </c>
      <c r="L43" s="179"/>
      <c r="M43" s="179" t="s">
        <v>176</v>
      </c>
      <c r="N43" s="179"/>
      <c r="O43" s="179"/>
      <c r="P43" s="180">
        <v>873547528327.46204</v>
      </c>
      <c r="Q43" s="181">
        <f t="shared" si="2"/>
        <v>1</v>
      </c>
      <c r="T43" s="174">
        <f t="shared" si="3"/>
        <v>0</v>
      </c>
    </row>
    <row r="46" spans="2:20" s="123" customFormat="1" ht="20.100000000000001" customHeight="1">
      <c r="B46" s="157" t="s">
        <v>192</v>
      </c>
      <c r="C46" s="157"/>
      <c r="D46" s="157"/>
      <c r="E46" s="157"/>
      <c r="F46" s="157"/>
      <c r="G46" s="157"/>
      <c r="J46" s="158"/>
      <c r="L46" s="157" t="s">
        <v>193</v>
      </c>
      <c r="M46" s="157"/>
      <c r="N46" s="157"/>
      <c r="O46" s="157"/>
      <c r="P46" s="157"/>
      <c r="Q46" s="157"/>
      <c r="T46" s="158"/>
    </row>
    <row r="47" spans="2:20">
      <c r="B47" s="159" t="s">
        <v>95</v>
      </c>
      <c r="C47" s="160" t="s">
        <v>96</v>
      </c>
      <c r="D47" s="160" t="s">
        <v>97</v>
      </c>
      <c r="E47" s="160" t="s">
        <v>98</v>
      </c>
      <c r="F47" s="160" t="s">
        <v>91</v>
      </c>
      <c r="G47" s="160" t="s">
        <v>174</v>
      </c>
      <c r="I47" s="67" t="s">
        <v>91</v>
      </c>
      <c r="J47" s="99"/>
      <c r="L47" s="159" t="s">
        <v>95</v>
      </c>
      <c r="M47" s="160" t="s">
        <v>96</v>
      </c>
      <c r="N47" s="160" t="s">
        <v>97</v>
      </c>
      <c r="O47" s="160" t="s">
        <v>98</v>
      </c>
      <c r="P47" s="160" t="s">
        <v>91</v>
      </c>
      <c r="Q47" s="160" t="s">
        <v>174</v>
      </c>
      <c r="S47" s="67" t="s">
        <v>91</v>
      </c>
      <c r="T47" s="99"/>
    </row>
    <row r="48" spans="2:20">
      <c r="B48" s="155" t="s">
        <v>99</v>
      </c>
      <c r="C48" s="161" t="s">
        <v>100</v>
      </c>
      <c r="D48" s="161" t="s">
        <v>101</v>
      </c>
      <c r="E48" s="161">
        <v>2023</v>
      </c>
      <c r="F48" s="162">
        <v>9024347964.3451004</v>
      </c>
      <c r="G48" s="163">
        <f>F48/$F$85</f>
        <v>9.8099638730791503E-3</v>
      </c>
      <c r="J48" s="164">
        <f>G48*$J$47</f>
        <v>0</v>
      </c>
      <c r="L48" s="155" t="s">
        <v>99</v>
      </c>
      <c r="M48" s="161" t="s">
        <v>100</v>
      </c>
      <c r="N48" s="161" t="s">
        <v>101</v>
      </c>
      <c r="O48" s="161">
        <v>2024</v>
      </c>
      <c r="P48" s="162">
        <v>8547821180.0598602</v>
      </c>
      <c r="Q48" s="163">
        <f>P48/$P$85</f>
        <v>1.2658845348834671E-2</v>
      </c>
      <c r="T48" s="164">
        <f>+Q48*$T$47</f>
        <v>0</v>
      </c>
    </row>
    <row r="49" spans="2:20">
      <c r="B49" s="165" t="s">
        <v>102</v>
      </c>
      <c r="C49" s="166" t="s">
        <v>100</v>
      </c>
      <c r="D49" s="166" t="s">
        <v>103</v>
      </c>
      <c r="E49" s="166">
        <v>2023</v>
      </c>
      <c r="F49" s="167">
        <v>579909095.39494002</v>
      </c>
      <c r="G49" s="163">
        <f t="shared" ref="G49:G85" si="4">F49/$F$85</f>
        <v>6.3039316502100514E-4</v>
      </c>
      <c r="J49" s="164">
        <f t="shared" ref="J49:J85" si="5">G49*$J$47</f>
        <v>0</v>
      </c>
      <c r="L49" s="165" t="s">
        <v>102</v>
      </c>
      <c r="M49" s="166" t="s">
        <v>100</v>
      </c>
      <c r="N49" s="166" t="s">
        <v>103</v>
      </c>
      <c r="O49" s="166">
        <v>2024</v>
      </c>
      <c r="P49" s="167">
        <v>587351625.29184997</v>
      </c>
      <c r="Q49" s="163">
        <f t="shared" ref="Q49:Q85" si="6">P49/$P$85</f>
        <v>8.6983492440165331E-4</v>
      </c>
      <c r="T49" s="164">
        <f t="shared" ref="T49:T85" si="7">+Q49*$T$47</f>
        <v>0</v>
      </c>
    </row>
    <row r="50" spans="2:20">
      <c r="B50" s="165" t="s">
        <v>104</v>
      </c>
      <c r="C50" s="166" t="s">
        <v>100</v>
      </c>
      <c r="D50" s="166" t="s">
        <v>105</v>
      </c>
      <c r="E50" s="166">
        <v>2023</v>
      </c>
      <c r="F50" s="167">
        <v>248749793084.71033</v>
      </c>
      <c r="G50" s="163">
        <f t="shared" si="4"/>
        <v>0.27040474206426618</v>
      </c>
      <c r="J50" s="164">
        <f t="shared" si="5"/>
        <v>0</v>
      </c>
      <c r="L50" s="165" t="s">
        <v>104</v>
      </c>
      <c r="M50" s="166" t="s">
        <v>100</v>
      </c>
      <c r="N50" s="166" t="s">
        <v>105</v>
      </c>
      <c r="O50" s="166">
        <v>2024</v>
      </c>
      <c r="P50" s="167">
        <v>130711913331.67386</v>
      </c>
      <c r="Q50" s="163">
        <f t="shared" si="6"/>
        <v>0.19357703691507883</v>
      </c>
      <c r="T50" s="164">
        <f t="shared" si="7"/>
        <v>0</v>
      </c>
    </row>
    <row r="51" spans="2:20">
      <c r="B51" s="165" t="s">
        <v>106</v>
      </c>
      <c r="C51" s="166" t="s">
        <v>100</v>
      </c>
      <c r="D51" s="166" t="s">
        <v>107</v>
      </c>
      <c r="E51" s="166">
        <v>2023</v>
      </c>
      <c r="F51" s="167">
        <v>296245248.57738</v>
      </c>
      <c r="G51" s="163">
        <f t="shared" si="4"/>
        <v>3.2203492125941653E-4</v>
      </c>
      <c r="J51" s="164">
        <f t="shared" si="5"/>
        <v>0</v>
      </c>
      <c r="L51" s="165" t="s">
        <v>106</v>
      </c>
      <c r="M51" s="166" t="s">
        <v>100</v>
      </c>
      <c r="N51" s="166" t="s">
        <v>107</v>
      </c>
      <c r="O51" s="166">
        <v>2024</v>
      </c>
      <c r="P51" s="167">
        <v>305010289.69075006</v>
      </c>
      <c r="Q51" s="163">
        <f t="shared" si="6"/>
        <v>4.5170318911274041E-4</v>
      </c>
      <c r="T51" s="164">
        <f t="shared" si="7"/>
        <v>0</v>
      </c>
    </row>
    <row r="52" spans="2:20">
      <c r="B52" s="165" t="s">
        <v>108</v>
      </c>
      <c r="C52" s="166" t="s">
        <v>100</v>
      </c>
      <c r="D52" s="166" t="s">
        <v>109</v>
      </c>
      <c r="E52" s="166">
        <v>2023</v>
      </c>
      <c r="F52" s="167">
        <v>107852800.39283</v>
      </c>
      <c r="G52" s="163">
        <f t="shared" si="4"/>
        <v>1.1724194142827037E-4</v>
      </c>
      <c r="J52" s="164">
        <f t="shared" si="5"/>
        <v>0</v>
      </c>
      <c r="L52" s="165" t="s">
        <v>108</v>
      </c>
      <c r="M52" s="166" t="s">
        <v>100</v>
      </c>
      <c r="N52" s="166" t="s">
        <v>109</v>
      </c>
      <c r="O52" s="166">
        <v>2024</v>
      </c>
      <c r="P52" s="167">
        <v>113364622.61478999</v>
      </c>
      <c r="Q52" s="163">
        <f t="shared" si="6"/>
        <v>1.6788666906805629E-4</v>
      </c>
      <c r="T52" s="164">
        <f t="shared" si="7"/>
        <v>0</v>
      </c>
    </row>
    <row r="53" spans="2:20">
      <c r="B53" s="165" t="s">
        <v>110</v>
      </c>
      <c r="C53" s="166" t="s">
        <v>100</v>
      </c>
      <c r="D53" s="166" t="s">
        <v>111</v>
      </c>
      <c r="E53" s="166">
        <v>2023</v>
      </c>
      <c r="F53" s="167">
        <v>6522465367.7716198</v>
      </c>
      <c r="G53" s="163">
        <f t="shared" si="4"/>
        <v>7.0902795275683862E-3</v>
      </c>
      <c r="J53" s="164">
        <f t="shared" si="5"/>
        <v>0</v>
      </c>
      <c r="L53" s="165" t="s">
        <v>110</v>
      </c>
      <c r="M53" s="166" t="s">
        <v>100</v>
      </c>
      <c r="N53" s="166" t="s">
        <v>111</v>
      </c>
      <c r="O53" s="166">
        <v>2024</v>
      </c>
      <c r="P53" s="167">
        <v>6660551023.1021299</v>
      </c>
      <c r="Q53" s="163">
        <f t="shared" si="6"/>
        <v>9.8639037438171991E-3</v>
      </c>
      <c r="T53" s="164">
        <f t="shared" si="7"/>
        <v>0</v>
      </c>
    </row>
    <row r="54" spans="2:20">
      <c r="B54" s="165" t="s">
        <v>112</v>
      </c>
      <c r="C54" s="166" t="s">
        <v>100</v>
      </c>
      <c r="D54" s="166" t="s">
        <v>113</v>
      </c>
      <c r="E54" s="166">
        <v>2023</v>
      </c>
      <c r="F54" s="167">
        <v>3002906538.27316</v>
      </c>
      <c r="G54" s="163">
        <f t="shared" si="4"/>
        <v>3.2643249984466525E-3</v>
      </c>
      <c r="J54" s="164">
        <f t="shared" si="5"/>
        <v>0</v>
      </c>
      <c r="L54" s="165" t="s">
        <v>112</v>
      </c>
      <c r="M54" s="166" t="s">
        <v>100</v>
      </c>
      <c r="N54" s="166" t="s">
        <v>113</v>
      </c>
      <c r="O54" s="166">
        <v>2024</v>
      </c>
      <c r="P54" s="167">
        <v>2919127523.18788</v>
      </c>
      <c r="Q54" s="163">
        <f t="shared" si="6"/>
        <v>4.323064684105077E-3</v>
      </c>
      <c r="T54" s="164">
        <f t="shared" si="7"/>
        <v>0</v>
      </c>
    </row>
    <row r="55" spans="2:20">
      <c r="B55" s="165" t="s">
        <v>114</v>
      </c>
      <c r="C55" s="166" t="s">
        <v>100</v>
      </c>
      <c r="D55" s="166" t="s">
        <v>115</v>
      </c>
      <c r="E55" s="166">
        <v>2023</v>
      </c>
      <c r="F55" s="167">
        <v>9351456446.09268</v>
      </c>
      <c r="G55" s="163">
        <f t="shared" si="4"/>
        <v>1.01655488307071E-2</v>
      </c>
      <c r="J55" s="164">
        <f t="shared" si="5"/>
        <v>0</v>
      </c>
      <c r="L55" s="165" t="s">
        <v>114</v>
      </c>
      <c r="M55" s="166" t="s">
        <v>100</v>
      </c>
      <c r="N55" s="166" t="s">
        <v>115</v>
      </c>
      <c r="O55" s="166">
        <v>2024</v>
      </c>
      <c r="P55" s="167">
        <v>9818350699.5944996</v>
      </c>
      <c r="Q55" s="163">
        <f t="shared" si="6"/>
        <v>1.4540428545314876E-2</v>
      </c>
      <c r="T55" s="164">
        <f t="shared" si="7"/>
        <v>0</v>
      </c>
    </row>
    <row r="56" spans="2:20" s="173" customFormat="1">
      <c r="B56" s="168"/>
      <c r="C56" s="170" t="s">
        <v>169</v>
      </c>
      <c r="D56" s="170"/>
      <c r="E56" s="170">
        <v>2023</v>
      </c>
      <c r="F56" s="171">
        <v>277634976545.55804</v>
      </c>
      <c r="G56" s="172">
        <f t="shared" si="4"/>
        <v>0.30180452932177615</v>
      </c>
      <c r="I56" s="155"/>
      <c r="J56" s="164">
        <f t="shared" si="5"/>
        <v>0</v>
      </c>
      <c r="L56" s="168"/>
      <c r="M56" s="170" t="s">
        <v>169</v>
      </c>
      <c r="N56" s="170"/>
      <c r="O56" s="170">
        <v>2024</v>
      </c>
      <c r="P56" s="171">
        <v>159663490295.21561</v>
      </c>
      <c r="Q56" s="172">
        <f t="shared" si="6"/>
        <v>0.23645270401973309</v>
      </c>
      <c r="T56" s="174">
        <f t="shared" si="7"/>
        <v>0</v>
      </c>
    </row>
    <row r="57" spans="2:20">
      <c r="B57" s="165" t="s">
        <v>116</v>
      </c>
      <c r="C57" s="166" t="s">
        <v>117</v>
      </c>
      <c r="D57" s="166" t="s">
        <v>118</v>
      </c>
      <c r="E57" s="166">
        <v>2023</v>
      </c>
      <c r="F57" s="167">
        <v>9532058355.8455772</v>
      </c>
      <c r="G57" s="163">
        <f t="shared" si="4"/>
        <v>1.0361873065664013E-2</v>
      </c>
      <c r="J57" s="164">
        <f t="shared" si="5"/>
        <v>0</v>
      </c>
      <c r="L57" s="165" t="s">
        <v>116</v>
      </c>
      <c r="M57" s="166" t="s">
        <v>117</v>
      </c>
      <c r="N57" s="166" t="s">
        <v>118</v>
      </c>
      <c r="O57" s="166">
        <v>2024</v>
      </c>
      <c r="P57" s="167">
        <v>10302835035.71604</v>
      </c>
      <c r="Q57" s="163">
        <f t="shared" si="6"/>
        <v>1.5257922764684174E-2</v>
      </c>
      <c r="T57" s="164">
        <f t="shared" si="7"/>
        <v>0</v>
      </c>
    </row>
    <row r="58" spans="2:20">
      <c r="B58" s="165" t="s">
        <v>119</v>
      </c>
      <c r="C58" s="166" t="s">
        <v>117</v>
      </c>
      <c r="D58" s="166" t="s">
        <v>120</v>
      </c>
      <c r="E58" s="166">
        <v>2023</v>
      </c>
      <c r="F58" s="167">
        <v>104213865686.00291</v>
      </c>
      <c r="G58" s="163">
        <f t="shared" si="4"/>
        <v>0.11328621873766617</v>
      </c>
      <c r="J58" s="164">
        <f t="shared" si="5"/>
        <v>0</v>
      </c>
      <c r="L58" s="165" t="s">
        <v>119</v>
      </c>
      <c r="M58" s="166" t="s">
        <v>117</v>
      </c>
      <c r="N58" s="166" t="s">
        <v>120</v>
      </c>
      <c r="O58" s="166">
        <v>2024</v>
      </c>
      <c r="P58" s="167">
        <v>111787759913.97791</v>
      </c>
      <c r="Q58" s="163">
        <f t="shared" si="6"/>
        <v>0.1655514235539724</v>
      </c>
      <c r="T58" s="164">
        <f t="shared" si="7"/>
        <v>0</v>
      </c>
    </row>
    <row r="59" spans="2:20" s="173" customFormat="1">
      <c r="B59" s="168"/>
      <c r="C59" s="170" t="s">
        <v>170</v>
      </c>
      <c r="D59" s="170"/>
      <c r="E59" s="170">
        <v>2023</v>
      </c>
      <c r="F59" s="171">
        <v>113745924041.8485</v>
      </c>
      <c r="G59" s="172">
        <f t="shared" si="4"/>
        <v>0.1236480918033302</v>
      </c>
      <c r="I59" s="155"/>
      <c r="J59" s="164">
        <f t="shared" si="5"/>
        <v>0</v>
      </c>
      <c r="L59" s="168"/>
      <c r="M59" s="170" t="s">
        <v>170</v>
      </c>
      <c r="N59" s="170"/>
      <c r="O59" s="170">
        <v>2024</v>
      </c>
      <c r="P59" s="171">
        <v>122090594949.69394</v>
      </c>
      <c r="Q59" s="172">
        <f t="shared" si="6"/>
        <v>0.18080934631865656</v>
      </c>
      <c r="T59" s="174">
        <f t="shared" si="7"/>
        <v>0</v>
      </c>
    </row>
    <row r="60" spans="2:20">
      <c r="B60" s="165" t="s">
        <v>121</v>
      </c>
      <c r="C60" s="166" t="s">
        <v>122</v>
      </c>
      <c r="D60" s="166" t="s">
        <v>123</v>
      </c>
      <c r="E60" s="166">
        <v>2023</v>
      </c>
      <c r="F60" s="167">
        <v>84696068363.779465</v>
      </c>
      <c r="G60" s="163">
        <f t="shared" si="4"/>
        <v>9.206929676506713E-2</v>
      </c>
      <c r="J60" s="164">
        <f t="shared" si="5"/>
        <v>0</v>
      </c>
      <c r="L60" s="165" t="s">
        <v>121</v>
      </c>
      <c r="M60" s="166" t="s">
        <v>122</v>
      </c>
      <c r="N60" s="166" t="s">
        <v>123</v>
      </c>
      <c r="O60" s="166">
        <v>2024</v>
      </c>
      <c r="P60" s="167">
        <v>88436668827.777298</v>
      </c>
      <c r="Q60" s="163">
        <f t="shared" si="6"/>
        <v>0.13096976296936302</v>
      </c>
      <c r="T60" s="164">
        <f t="shared" si="7"/>
        <v>0</v>
      </c>
    </row>
    <row r="61" spans="2:20">
      <c r="B61" s="165" t="s">
        <v>124</v>
      </c>
      <c r="C61" s="166" t="s">
        <v>122</v>
      </c>
      <c r="D61" s="166" t="s">
        <v>125</v>
      </c>
      <c r="E61" s="166">
        <v>2023</v>
      </c>
      <c r="F61" s="167">
        <v>9308661621.1614113</v>
      </c>
      <c r="G61" s="163">
        <f t="shared" si="4"/>
        <v>1.0119028496142301E-2</v>
      </c>
      <c r="J61" s="164">
        <f t="shared" si="5"/>
        <v>0</v>
      </c>
      <c r="L61" s="165" t="s">
        <v>124</v>
      </c>
      <c r="M61" s="166" t="s">
        <v>122</v>
      </c>
      <c r="N61" s="166" t="s">
        <v>125</v>
      </c>
      <c r="O61" s="166">
        <v>2024</v>
      </c>
      <c r="P61" s="167">
        <v>9715969864.61586</v>
      </c>
      <c r="Q61" s="163">
        <f t="shared" si="6"/>
        <v>1.4388808251747844E-2</v>
      </c>
      <c r="T61" s="164">
        <f t="shared" si="7"/>
        <v>0</v>
      </c>
    </row>
    <row r="62" spans="2:20">
      <c r="B62" s="165" t="s">
        <v>126</v>
      </c>
      <c r="C62" s="166" t="s">
        <v>122</v>
      </c>
      <c r="D62" s="166" t="s">
        <v>127</v>
      </c>
      <c r="E62" s="166">
        <v>2023</v>
      </c>
      <c r="F62" s="167">
        <v>107220122056.73199</v>
      </c>
      <c r="G62" s="163">
        <f t="shared" si="4"/>
        <v>0.11655418518871453</v>
      </c>
      <c r="J62" s="164">
        <f t="shared" si="5"/>
        <v>0</v>
      </c>
      <c r="L62" s="165" t="s">
        <v>126</v>
      </c>
      <c r="M62" s="166" t="s">
        <v>122</v>
      </c>
      <c r="N62" s="166" t="s">
        <v>127</v>
      </c>
      <c r="O62" s="166">
        <v>2024</v>
      </c>
      <c r="P62" s="167">
        <v>25121841117.210522</v>
      </c>
      <c r="Q62" s="163">
        <f t="shared" si="6"/>
        <v>3.7204042396513606E-2</v>
      </c>
      <c r="T62" s="164">
        <f t="shared" si="7"/>
        <v>0</v>
      </c>
    </row>
    <row r="63" spans="2:20">
      <c r="B63" s="165" t="s">
        <v>128</v>
      </c>
      <c r="C63" s="166" t="s">
        <v>122</v>
      </c>
      <c r="D63" s="166" t="s">
        <v>129</v>
      </c>
      <c r="E63" s="166">
        <v>2023</v>
      </c>
      <c r="F63" s="167">
        <v>32473780102.7719</v>
      </c>
      <c r="G63" s="163">
        <f t="shared" si="4"/>
        <v>3.5300789695738133E-2</v>
      </c>
      <c r="J63" s="164">
        <f t="shared" si="5"/>
        <v>0</v>
      </c>
      <c r="L63" s="165" t="s">
        <v>128</v>
      </c>
      <c r="M63" s="166" t="s">
        <v>122</v>
      </c>
      <c r="N63" s="166" t="s">
        <v>129</v>
      </c>
      <c r="O63" s="166">
        <v>2024</v>
      </c>
      <c r="P63" s="167">
        <v>33451294758.4184</v>
      </c>
      <c r="Q63" s="163">
        <f t="shared" si="6"/>
        <v>4.9539497626942278E-2</v>
      </c>
      <c r="T63" s="164">
        <f t="shared" si="7"/>
        <v>0</v>
      </c>
    </row>
    <row r="64" spans="2:20">
      <c r="B64" s="165" t="s">
        <v>130</v>
      </c>
      <c r="C64" s="166" t="s">
        <v>122</v>
      </c>
      <c r="D64" s="166" t="s">
        <v>131</v>
      </c>
      <c r="E64" s="166">
        <v>2023</v>
      </c>
      <c r="F64" s="167">
        <v>74455950695.195801</v>
      </c>
      <c r="G64" s="163">
        <f t="shared" si="4"/>
        <v>8.093772418145441E-2</v>
      </c>
      <c r="J64" s="164">
        <f t="shared" si="5"/>
        <v>0</v>
      </c>
      <c r="L64" s="165" t="s">
        <v>130</v>
      </c>
      <c r="M64" s="166" t="s">
        <v>122</v>
      </c>
      <c r="N64" s="166" t="s">
        <v>131</v>
      </c>
      <c r="O64" s="166">
        <v>2024</v>
      </c>
      <c r="P64" s="167">
        <v>77994230751.914993</v>
      </c>
      <c r="Q64" s="163">
        <f t="shared" si="6"/>
        <v>0.11550509590596081</v>
      </c>
      <c r="T64" s="164">
        <f t="shared" si="7"/>
        <v>0</v>
      </c>
    </row>
    <row r="65" spans="2:20">
      <c r="B65" s="165" t="s">
        <v>132</v>
      </c>
      <c r="C65" s="166" t="s">
        <v>122</v>
      </c>
      <c r="D65" s="166" t="s">
        <v>133</v>
      </c>
      <c r="E65" s="166">
        <v>2023</v>
      </c>
      <c r="F65" s="167">
        <v>72861566.856999993</v>
      </c>
      <c r="G65" s="163">
        <f t="shared" si="4"/>
        <v>7.9204541029129317E-5</v>
      </c>
      <c r="J65" s="164">
        <f t="shared" si="5"/>
        <v>0</v>
      </c>
      <c r="L65" s="165" t="s">
        <v>132</v>
      </c>
      <c r="M65" s="166" t="s">
        <v>122</v>
      </c>
      <c r="N65" s="166" t="s">
        <v>133</v>
      </c>
      <c r="O65" s="166">
        <v>2024</v>
      </c>
      <c r="P65" s="167">
        <v>75016834.776720002</v>
      </c>
      <c r="Q65" s="163">
        <f t="shared" si="6"/>
        <v>1.1109573890160987E-4</v>
      </c>
      <c r="T65" s="164">
        <f t="shared" si="7"/>
        <v>0</v>
      </c>
    </row>
    <row r="66" spans="2:20">
      <c r="B66" s="165" t="s">
        <v>134</v>
      </c>
      <c r="C66" s="166" t="s">
        <v>122</v>
      </c>
      <c r="D66" s="166" t="s">
        <v>135</v>
      </c>
      <c r="E66" s="166">
        <v>2023</v>
      </c>
      <c r="F66" s="167">
        <v>20818630767.9869</v>
      </c>
      <c r="G66" s="163">
        <f t="shared" si="4"/>
        <v>2.2630999660898668E-2</v>
      </c>
      <c r="J66" s="164">
        <f t="shared" si="5"/>
        <v>0</v>
      </c>
      <c r="L66" s="165" t="s">
        <v>134</v>
      </c>
      <c r="M66" s="166" t="s">
        <v>122</v>
      </c>
      <c r="N66" s="166" t="s">
        <v>135</v>
      </c>
      <c r="O66" s="166">
        <v>2024</v>
      </c>
      <c r="P66" s="167">
        <v>22086583430.6973</v>
      </c>
      <c r="Q66" s="163">
        <f t="shared" si="6"/>
        <v>3.270899543214046E-2</v>
      </c>
      <c r="T66" s="164">
        <f t="shared" si="7"/>
        <v>0</v>
      </c>
    </row>
    <row r="67" spans="2:20">
      <c r="B67" s="165" t="s">
        <v>136</v>
      </c>
      <c r="C67" s="166" t="s">
        <v>122</v>
      </c>
      <c r="D67" s="166" t="s">
        <v>137</v>
      </c>
      <c r="E67" s="166">
        <v>2023</v>
      </c>
      <c r="F67" s="167">
        <v>3549387620.0997801</v>
      </c>
      <c r="G67" s="163">
        <f t="shared" si="4"/>
        <v>3.8583800693749158E-3</v>
      </c>
      <c r="J67" s="164">
        <f t="shared" si="5"/>
        <v>0</v>
      </c>
      <c r="L67" s="165" t="s">
        <v>136</v>
      </c>
      <c r="M67" s="166" t="s">
        <v>122</v>
      </c>
      <c r="N67" s="166" t="s">
        <v>137</v>
      </c>
      <c r="O67" s="166">
        <v>2024</v>
      </c>
      <c r="P67" s="167">
        <v>3208788474.6951098</v>
      </c>
      <c r="Q67" s="163">
        <f t="shared" si="6"/>
        <v>4.7520363613881818E-3</v>
      </c>
      <c r="T67" s="164">
        <f t="shared" si="7"/>
        <v>0</v>
      </c>
    </row>
    <row r="68" spans="2:20">
      <c r="B68" s="165" t="s">
        <v>138</v>
      </c>
      <c r="C68" s="166" t="s">
        <v>122</v>
      </c>
      <c r="D68" s="166" t="s">
        <v>139</v>
      </c>
      <c r="E68" s="166">
        <v>2023</v>
      </c>
      <c r="F68" s="167">
        <v>2005787058.5634699</v>
      </c>
      <c r="G68" s="163">
        <f t="shared" si="4"/>
        <v>2.1804011391559053E-3</v>
      </c>
      <c r="J68" s="164">
        <f t="shared" si="5"/>
        <v>0</v>
      </c>
      <c r="L68" s="165" t="s">
        <v>138</v>
      </c>
      <c r="M68" s="166" t="s">
        <v>122</v>
      </c>
      <c r="N68" s="166" t="s">
        <v>139</v>
      </c>
      <c r="O68" s="166">
        <v>2024</v>
      </c>
      <c r="P68" s="167">
        <v>2242627178.0485001</v>
      </c>
      <c r="Q68" s="163">
        <f t="shared" si="6"/>
        <v>3.3212054889770952E-3</v>
      </c>
      <c r="T68" s="164">
        <f t="shared" si="7"/>
        <v>0</v>
      </c>
    </row>
    <row r="69" spans="2:20">
      <c r="B69" s="165" t="s">
        <v>140</v>
      </c>
      <c r="C69" s="166" t="s">
        <v>122</v>
      </c>
      <c r="D69" s="166" t="s">
        <v>141</v>
      </c>
      <c r="E69" s="166">
        <v>2023</v>
      </c>
      <c r="F69" s="167">
        <v>135981350.32106999</v>
      </c>
      <c r="G69" s="163">
        <f t="shared" si="4"/>
        <v>1.4781922631227167E-4</v>
      </c>
      <c r="J69" s="164">
        <f t="shared" si="5"/>
        <v>0</v>
      </c>
      <c r="L69" s="165" t="s">
        <v>140</v>
      </c>
      <c r="M69" s="166" t="s">
        <v>122</v>
      </c>
      <c r="N69" s="166" t="s">
        <v>141</v>
      </c>
      <c r="O69" s="166">
        <v>2024</v>
      </c>
      <c r="P69" s="167">
        <v>143391146.28457999</v>
      </c>
      <c r="Q69" s="163">
        <f t="shared" si="6"/>
        <v>2.1235427215569289E-4</v>
      </c>
      <c r="T69" s="164">
        <f t="shared" si="7"/>
        <v>0</v>
      </c>
    </row>
    <row r="70" spans="2:20">
      <c r="B70" s="165" t="s">
        <v>142</v>
      </c>
      <c r="C70" s="166" t="s">
        <v>122</v>
      </c>
      <c r="D70" s="166" t="s">
        <v>143</v>
      </c>
      <c r="E70" s="166">
        <v>2023</v>
      </c>
      <c r="F70" s="167">
        <v>1024042675.8151101</v>
      </c>
      <c r="G70" s="163">
        <f t="shared" si="4"/>
        <v>1.1131908581016869E-3</v>
      </c>
      <c r="J70" s="164">
        <f t="shared" si="5"/>
        <v>0</v>
      </c>
      <c r="L70" s="165" t="s">
        <v>142</v>
      </c>
      <c r="M70" s="166" t="s">
        <v>122</v>
      </c>
      <c r="N70" s="166" t="s">
        <v>143</v>
      </c>
      <c r="O70" s="166">
        <v>2024</v>
      </c>
      <c r="P70" s="167">
        <v>1647126849.93923</v>
      </c>
      <c r="Q70" s="163">
        <f t="shared" si="6"/>
        <v>2.4393027912111643E-3</v>
      </c>
      <c r="T70" s="164">
        <f t="shared" si="7"/>
        <v>0</v>
      </c>
    </row>
    <row r="71" spans="2:20">
      <c r="B71" s="165" t="s">
        <v>144</v>
      </c>
      <c r="C71" s="166" t="s">
        <v>122</v>
      </c>
      <c r="D71" s="166" t="s">
        <v>145</v>
      </c>
      <c r="E71" s="166">
        <v>2023</v>
      </c>
      <c r="F71" s="167">
        <v>26244379854.3363</v>
      </c>
      <c r="G71" s="163">
        <f t="shared" si="4"/>
        <v>2.8529088113579744E-2</v>
      </c>
      <c r="J71" s="164">
        <f t="shared" si="5"/>
        <v>0</v>
      </c>
      <c r="L71" s="165" t="s">
        <v>144</v>
      </c>
      <c r="M71" s="166" t="s">
        <v>122</v>
      </c>
      <c r="N71" s="166" t="s">
        <v>145</v>
      </c>
      <c r="O71" s="166">
        <v>2024</v>
      </c>
      <c r="P71" s="167">
        <v>27032465097.876999</v>
      </c>
      <c r="Q71" s="163">
        <f t="shared" si="6"/>
        <v>4.0033569708976931E-2</v>
      </c>
      <c r="T71" s="164">
        <f t="shared" si="7"/>
        <v>0</v>
      </c>
    </row>
    <row r="72" spans="2:20">
      <c r="B72" s="165" t="s">
        <v>146</v>
      </c>
      <c r="C72" s="166" t="s">
        <v>122</v>
      </c>
      <c r="D72" s="166" t="s">
        <v>147</v>
      </c>
      <c r="E72" s="166">
        <v>2023</v>
      </c>
      <c r="F72" s="167">
        <v>2175536198.07161</v>
      </c>
      <c r="G72" s="163">
        <f t="shared" si="4"/>
        <v>2.3649278143949817E-3</v>
      </c>
      <c r="J72" s="164">
        <f t="shared" si="5"/>
        <v>0</v>
      </c>
      <c r="L72" s="165" t="s">
        <v>146</v>
      </c>
      <c r="M72" s="166" t="s">
        <v>122</v>
      </c>
      <c r="N72" s="166" t="s">
        <v>147</v>
      </c>
      <c r="O72" s="166">
        <v>2024</v>
      </c>
      <c r="P72" s="167">
        <v>2291589893.2404699</v>
      </c>
      <c r="Q72" s="163">
        <f t="shared" si="6"/>
        <v>3.3937165331856551E-3</v>
      </c>
      <c r="T72" s="164">
        <f t="shared" si="7"/>
        <v>0</v>
      </c>
    </row>
    <row r="73" spans="2:20">
      <c r="B73" s="165" t="s">
        <v>148</v>
      </c>
      <c r="C73" s="166" t="s">
        <v>122</v>
      </c>
      <c r="D73" s="166" t="s">
        <v>149</v>
      </c>
      <c r="E73" s="166">
        <v>2023</v>
      </c>
      <c r="F73" s="167">
        <v>25270093057.895248</v>
      </c>
      <c r="G73" s="163">
        <f t="shared" si="4"/>
        <v>2.7469984640080387E-2</v>
      </c>
      <c r="J73" s="164">
        <f t="shared" si="5"/>
        <v>0</v>
      </c>
      <c r="L73" s="165" t="s">
        <v>148</v>
      </c>
      <c r="M73" s="166" t="s">
        <v>122</v>
      </c>
      <c r="N73" s="166" t="s">
        <v>149</v>
      </c>
      <c r="O73" s="166">
        <v>2024</v>
      </c>
      <c r="P73" s="167">
        <v>26944757798.879978</v>
      </c>
      <c r="Q73" s="163">
        <f t="shared" si="6"/>
        <v>3.9903680101955517E-2</v>
      </c>
      <c r="T73" s="164">
        <f t="shared" si="7"/>
        <v>0</v>
      </c>
    </row>
    <row r="74" spans="2:20">
      <c r="B74" s="165" t="s">
        <v>150</v>
      </c>
      <c r="C74" s="166" t="s">
        <v>122</v>
      </c>
      <c r="D74" s="166" t="s">
        <v>151</v>
      </c>
      <c r="E74" s="166">
        <v>2023</v>
      </c>
      <c r="F74" s="167">
        <v>27889049035.468773</v>
      </c>
      <c r="G74" s="163">
        <f t="shared" si="4"/>
        <v>3.0316934206596292E-2</v>
      </c>
      <c r="J74" s="164">
        <f t="shared" si="5"/>
        <v>0</v>
      </c>
      <c r="L74" s="165" t="s">
        <v>150</v>
      </c>
      <c r="M74" s="166" t="s">
        <v>122</v>
      </c>
      <c r="N74" s="166" t="s">
        <v>151</v>
      </c>
      <c r="O74" s="166">
        <v>2024</v>
      </c>
      <c r="P74" s="167">
        <v>29418327418.925781</v>
      </c>
      <c r="Q74" s="163">
        <f t="shared" si="6"/>
        <v>4.3566898437966177E-2</v>
      </c>
      <c r="T74" s="164">
        <f t="shared" si="7"/>
        <v>0</v>
      </c>
    </row>
    <row r="75" spans="2:20" s="173" customFormat="1">
      <c r="B75" s="168"/>
      <c r="C75" s="170" t="s">
        <v>171</v>
      </c>
      <c r="D75" s="170"/>
      <c r="E75" s="170">
        <v>2023</v>
      </c>
      <c r="F75" s="171">
        <v>417340332025.05579</v>
      </c>
      <c r="G75" s="172">
        <f t="shared" si="4"/>
        <v>0.45367195459664045</v>
      </c>
      <c r="I75" s="155"/>
      <c r="J75" s="164">
        <f t="shared" si="5"/>
        <v>0</v>
      </c>
      <c r="L75" s="168"/>
      <c r="M75" s="170" t="s">
        <v>171</v>
      </c>
      <c r="N75" s="170"/>
      <c r="O75" s="170">
        <v>2024</v>
      </c>
      <c r="P75" s="171">
        <v>349810679443.30176</v>
      </c>
      <c r="Q75" s="172">
        <f t="shared" si="6"/>
        <v>0.51805006201738601</v>
      </c>
      <c r="T75" s="174">
        <f t="shared" si="7"/>
        <v>0</v>
      </c>
    </row>
    <row r="76" spans="2:20">
      <c r="B76" s="165" t="s">
        <v>152</v>
      </c>
      <c r="C76" s="166" t="s">
        <v>153</v>
      </c>
      <c r="D76" s="166" t="s">
        <v>154</v>
      </c>
      <c r="E76" s="166">
        <v>2023</v>
      </c>
      <c r="F76" s="167">
        <v>8982717704.21525</v>
      </c>
      <c r="G76" s="163">
        <f t="shared" si="4"/>
        <v>9.7647094846718928E-3</v>
      </c>
      <c r="J76" s="164">
        <f t="shared" si="5"/>
        <v>0</v>
      </c>
      <c r="L76" s="165" t="s">
        <v>152</v>
      </c>
      <c r="M76" s="166" t="s">
        <v>153</v>
      </c>
      <c r="N76" s="166" t="s">
        <v>154</v>
      </c>
      <c r="O76" s="166">
        <v>2024</v>
      </c>
      <c r="P76" s="167">
        <v>8505449680.6231804</v>
      </c>
      <c r="Q76" s="163">
        <f t="shared" si="6"/>
        <v>1.2596095526714104E-2</v>
      </c>
      <c r="T76" s="164">
        <f t="shared" si="7"/>
        <v>0</v>
      </c>
    </row>
    <row r="77" spans="2:20">
      <c r="B77" s="165" t="s">
        <v>155</v>
      </c>
      <c r="C77" s="166" t="s">
        <v>153</v>
      </c>
      <c r="D77" s="166" t="s">
        <v>156</v>
      </c>
      <c r="E77" s="166">
        <v>2023</v>
      </c>
      <c r="F77" s="167">
        <v>3557193914.6997433</v>
      </c>
      <c r="G77" s="163">
        <f t="shared" si="4"/>
        <v>3.8668659420729558E-3</v>
      </c>
      <c r="J77" s="164">
        <f t="shared" si="5"/>
        <v>0</v>
      </c>
      <c r="L77" s="165" t="s">
        <v>155</v>
      </c>
      <c r="M77" s="166" t="s">
        <v>153</v>
      </c>
      <c r="N77" s="166" t="s">
        <v>156</v>
      </c>
      <c r="O77" s="166">
        <v>2024</v>
      </c>
      <c r="P77" s="167">
        <v>3792931361.8134136</v>
      </c>
      <c r="Q77" s="163">
        <f t="shared" si="6"/>
        <v>5.6171193239216363E-3</v>
      </c>
      <c r="T77" s="164">
        <f t="shared" si="7"/>
        <v>0</v>
      </c>
    </row>
    <row r="78" spans="2:20">
      <c r="B78" s="165" t="s">
        <v>157</v>
      </c>
      <c r="C78" s="166" t="s">
        <v>153</v>
      </c>
      <c r="D78" s="166" t="s">
        <v>158</v>
      </c>
      <c r="E78" s="166">
        <v>2023</v>
      </c>
      <c r="F78" s="167">
        <v>1524511677.7284613</v>
      </c>
      <c r="G78" s="163">
        <f t="shared" si="4"/>
        <v>1.6572282608884096E-3</v>
      </c>
      <c r="J78" s="164">
        <f t="shared" si="5"/>
        <v>0</v>
      </c>
      <c r="L78" s="165" t="s">
        <v>157</v>
      </c>
      <c r="M78" s="166" t="s">
        <v>153</v>
      </c>
      <c r="N78" s="166" t="s">
        <v>158</v>
      </c>
      <c r="O78" s="166">
        <v>2024</v>
      </c>
      <c r="P78" s="167">
        <v>1625542012.2057486</v>
      </c>
      <c r="Q78" s="163">
        <f t="shared" si="6"/>
        <v>2.4073368531092724E-3</v>
      </c>
      <c r="T78" s="164">
        <f t="shared" si="7"/>
        <v>0</v>
      </c>
    </row>
    <row r="79" spans="2:20">
      <c r="B79" s="165" t="s">
        <v>159</v>
      </c>
      <c r="C79" s="166" t="s">
        <v>153</v>
      </c>
      <c r="D79" s="166" t="s">
        <v>160</v>
      </c>
      <c r="E79" s="166">
        <v>2023</v>
      </c>
      <c r="F79" s="167">
        <v>977057072.96463704</v>
      </c>
      <c r="G79" s="163">
        <f t="shared" si="4"/>
        <v>1.0621149168437598E-3</v>
      </c>
      <c r="J79" s="164">
        <f t="shared" si="5"/>
        <v>0</v>
      </c>
      <c r="L79" s="165" t="s">
        <v>159</v>
      </c>
      <c r="M79" s="166" t="s">
        <v>153</v>
      </c>
      <c r="N79" s="166" t="s">
        <v>160</v>
      </c>
      <c r="O79" s="166">
        <v>2024</v>
      </c>
      <c r="P79" s="167">
        <v>1006368785.1535701</v>
      </c>
      <c r="Q79" s="163">
        <f t="shared" si="6"/>
        <v>1.4903759153118425E-3</v>
      </c>
      <c r="T79" s="164">
        <f t="shared" si="7"/>
        <v>0</v>
      </c>
    </row>
    <row r="80" spans="2:20" s="173" customFormat="1">
      <c r="B80" s="168"/>
      <c r="C80" s="170" t="s">
        <v>172</v>
      </c>
      <c r="D80" s="170"/>
      <c r="E80" s="170">
        <v>2023</v>
      </c>
      <c r="F80" s="171">
        <v>15041480369.608093</v>
      </c>
      <c r="G80" s="172">
        <f t="shared" si="4"/>
        <v>1.635091860447702E-2</v>
      </c>
      <c r="I80" s="155"/>
      <c r="J80" s="164">
        <f t="shared" si="5"/>
        <v>0</v>
      </c>
      <c r="L80" s="168"/>
      <c r="M80" s="170" t="s">
        <v>172</v>
      </c>
      <c r="N80" s="170"/>
      <c r="O80" s="170">
        <v>2024</v>
      </c>
      <c r="P80" s="171">
        <v>14930291839.795912</v>
      </c>
      <c r="Q80" s="172">
        <f t="shared" si="6"/>
        <v>2.2110927619056857E-2</v>
      </c>
      <c r="T80" s="174">
        <f t="shared" si="7"/>
        <v>0</v>
      </c>
    </row>
    <row r="81" spans="2:20">
      <c r="B81" s="165" t="s">
        <v>161</v>
      </c>
      <c r="C81" s="166" t="s">
        <v>162</v>
      </c>
      <c r="D81" s="166" t="s">
        <v>163</v>
      </c>
      <c r="E81" s="166">
        <v>2023</v>
      </c>
      <c r="F81" s="167">
        <v>26603871460.421291</v>
      </c>
      <c r="G81" s="163">
        <f t="shared" si="4"/>
        <v>2.891987531308739E-2</v>
      </c>
      <c r="J81" s="164">
        <f t="shared" si="5"/>
        <v>0</v>
      </c>
      <c r="L81" s="165" t="s">
        <v>161</v>
      </c>
      <c r="M81" s="166" t="s">
        <v>162</v>
      </c>
      <c r="N81" s="166" t="s">
        <v>163</v>
      </c>
      <c r="O81" s="166">
        <v>2024</v>
      </c>
      <c r="P81" s="167">
        <v>17609288623.892891</v>
      </c>
      <c r="Q81" s="163">
        <f t="shared" si="6"/>
        <v>2.6078372101753858E-2</v>
      </c>
      <c r="T81" s="164">
        <f t="shared" si="7"/>
        <v>0</v>
      </c>
    </row>
    <row r="82" spans="2:20">
      <c r="B82" s="165" t="s">
        <v>164</v>
      </c>
      <c r="C82" s="166" t="s">
        <v>162</v>
      </c>
      <c r="D82" s="166" t="s">
        <v>165</v>
      </c>
      <c r="E82" s="166">
        <v>2023</v>
      </c>
      <c r="F82" s="167">
        <v>60856205823.298546</v>
      </c>
      <c r="G82" s="163">
        <f t="shared" si="4"/>
        <v>6.6154051565602723E-2</v>
      </c>
      <c r="J82" s="164">
        <f t="shared" si="5"/>
        <v>0</v>
      </c>
      <c r="L82" s="165" t="s">
        <v>164</v>
      </c>
      <c r="M82" s="166" t="s">
        <v>162</v>
      </c>
      <c r="N82" s="166" t="s">
        <v>165</v>
      </c>
      <c r="O82" s="166">
        <v>2024</v>
      </c>
      <c r="P82" s="167">
        <v>9748014410.5393696</v>
      </c>
      <c r="Q82" s="163">
        <f t="shared" si="6"/>
        <v>1.4436264432986828E-2</v>
      </c>
      <c r="T82" s="164">
        <f t="shared" si="7"/>
        <v>0</v>
      </c>
    </row>
    <row r="83" spans="2:20">
      <c r="B83" s="165" t="s">
        <v>166</v>
      </c>
      <c r="C83" s="166" t="s">
        <v>162</v>
      </c>
      <c r="D83" s="166" t="s">
        <v>167</v>
      </c>
      <c r="E83" s="166">
        <v>2023</v>
      </c>
      <c r="F83" s="167">
        <v>8693743689.0426502</v>
      </c>
      <c r="G83" s="163">
        <f t="shared" si="4"/>
        <v>9.450578795086104E-3</v>
      </c>
      <c r="J83" s="164">
        <f t="shared" si="5"/>
        <v>0</v>
      </c>
      <c r="L83" s="165" t="s">
        <v>166</v>
      </c>
      <c r="M83" s="166" t="s">
        <v>162</v>
      </c>
      <c r="N83" s="166" t="s">
        <v>167</v>
      </c>
      <c r="O83" s="166">
        <v>2024</v>
      </c>
      <c r="P83" s="167">
        <v>1392573487.2199101</v>
      </c>
      <c r="Q83" s="163">
        <f t="shared" si="6"/>
        <v>2.0623234904266897E-3</v>
      </c>
      <c r="T83" s="164">
        <f t="shared" si="7"/>
        <v>0</v>
      </c>
    </row>
    <row r="84" spans="2:20" s="173" customFormat="1">
      <c r="B84" s="168"/>
      <c r="C84" s="170" t="s">
        <v>173</v>
      </c>
      <c r="D84" s="170"/>
      <c r="E84" s="170">
        <v>2023</v>
      </c>
      <c r="F84" s="171">
        <v>96153820972.762482</v>
      </c>
      <c r="G84" s="172">
        <f t="shared" si="4"/>
        <v>0.10452450567377622</v>
      </c>
      <c r="I84" s="155"/>
      <c r="J84" s="164">
        <f t="shared" si="5"/>
        <v>0</v>
      </c>
      <c r="L84" s="168"/>
      <c r="M84" s="170" t="s">
        <v>173</v>
      </c>
      <c r="N84" s="170"/>
      <c r="O84" s="170">
        <v>2024</v>
      </c>
      <c r="P84" s="171">
        <v>28749876521.652168</v>
      </c>
      <c r="Q84" s="172">
        <f t="shared" si="6"/>
        <v>4.2576960025167372E-2</v>
      </c>
      <c r="T84" s="174">
        <f t="shared" si="7"/>
        <v>0</v>
      </c>
    </row>
    <row r="85" spans="2:20" s="173" customFormat="1">
      <c r="B85" s="179"/>
      <c r="C85" s="179" t="s">
        <v>177</v>
      </c>
      <c r="D85" s="179"/>
      <c r="E85" s="179"/>
      <c r="F85" s="180">
        <v>919916533954.83289</v>
      </c>
      <c r="G85" s="181">
        <f t="shared" si="4"/>
        <v>1</v>
      </c>
      <c r="I85" s="155"/>
      <c r="J85" s="174">
        <f t="shared" si="5"/>
        <v>0</v>
      </c>
      <c r="L85" s="179"/>
      <c r="M85" s="179" t="s">
        <v>178</v>
      </c>
      <c r="N85" s="179"/>
      <c r="O85" s="179"/>
      <c r="P85" s="180">
        <v>675244933049.65942</v>
      </c>
      <c r="Q85" s="181">
        <f t="shared" si="6"/>
        <v>1</v>
      </c>
      <c r="T85" s="174">
        <f t="shared" si="7"/>
        <v>0</v>
      </c>
    </row>
    <row r="88" spans="2:20" s="123" customFormat="1" ht="20.100000000000001" customHeight="1">
      <c r="B88" s="157" t="s">
        <v>194</v>
      </c>
      <c r="C88" s="157"/>
      <c r="D88" s="157"/>
      <c r="E88" s="157"/>
      <c r="F88" s="157"/>
      <c r="G88" s="157"/>
      <c r="J88" s="182"/>
      <c r="T88" s="182"/>
    </row>
    <row r="89" spans="2:20">
      <c r="B89" s="159" t="s">
        <v>95</v>
      </c>
      <c r="C89" s="160" t="s">
        <v>96</v>
      </c>
      <c r="D89" s="160" t="s">
        <v>97</v>
      </c>
      <c r="E89" s="160" t="s">
        <v>98</v>
      </c>
      <c r="F89" s="160" t="s">
        <v>91</v>
      </c>
      <c r="G89" s="160" t="s">
        <v>174</v>
      </c>
      <c r="I89" s="67" t="s">
        <v>91</v>
      </c>
      <c r="J89" s="99"/>
      <c r="M89" s="80" t="s">
        <v>248</v>
      </c>
      <c r="N89" s="81"/>
      <c r="O89" s="81"/>
      <c r="P89" s="81"/>
      <c r="Q89" s="67" t="s">
        <v>91</v>
      </c>
      <c r="R89" s="99"/>
    </row>
    <row r="90" spans="2:20" ht="15">
      <c r="B90" s="155" t="s">
        <v>99</v>
      </c>
      <c r="C90" s="161" t="s">
        <v>100</v>
      </c>
      <c r="D90" s="161" t="s">
        <v>101</v>
      </c>
      <c r="E90" s="161">
        <v>2025</v>
      </c>
      <c r="F90" s="162">
        <v>8978259699.8470898</v>
      </c>
      <c r="G90" s="163">
        <f>F90/$F$127</f>
        <v>1.1183624916020799E-2</v>
      </c>
      <c r="J90" s="164">
        <f>G90*$J$89</f>
        <v>0</v>
      </c>
      <c r="M90" s="82"/>
      <c r="N90" s="83"/>
      <c r="O90" s="84"/>
      <c r="P90" s="85"/>
      <c r="Q90" s="35"/>
      <c r="R90" s="35"/>
    </row>
    <row r="91" spans="2:20" ht="15">
      <c r="B91" s="165" t="s">
        <v>102</v>
      </c>
      <c r="C91" s="166" t="s">
        <v>100</v>
      </c>
      <c r="D91" s="166" t="s">
        <v>103</v>
      </c>
      <c r="E91" s="166">
        <v>2025</v>
      </c>
      <c r="F91" s="167">
        <v>615225559.30448997</v>
      </c>
      <c r="G91" s="163">
        <f t="shared" ref="G91:G127" si="8">F91/$F$127</f>
        <v>7.6634583137840263E-4</v>
      </c>
      <c r="J91" s="164">
        <f t="shared" ref="J91:J127" si="9">G91*$J$89</f>
        <v>0</v>
      </c>
      <c r="M91" s="86" t="s">
        <v>247</v>
      </c>
      <c r="N91" s="87" t="s">
        <v>87</v>
      </c>
      <c r="O91" s="88" t="s">
        <v>236</v>
      </c>
      <c r="P91" s="89" t="s">
        <v>235</v>
      </c>
      <c r="T91" s="155"/>
    </row>
    <row r="92" spans="2:20" ht="15">
      <c r="B92" s="165" t="s">
        <v>104</v>
      </c>
      <c r="C92" s="166" t="s">
        <v>100</v>
      </c>
      <c r="D92" s="166" t="s">
        <v>105</v>
      </c>
      <c r="E92" s="166">
        <v>2025</v>
      </c>
      <c r="F92" s="167">
        <v>197191386212.83755</v>
      </c>
      <c r="G92" s="163">
        <f t="shared" si="8"/>
        <v>0.24562828140426027</v>
      </c>
      <c r="J92" s="164">
        <f t="shared" si="9"/>
        <v>0</v>
      </c>
      <c r="M92" s="86"/>
      <c r="N92" s="87" t="str">
        <f>IFERROR(VLOOKUP(Tableau2613[[#This Row],[Domaines d''intervention]],$D$6:$G$42,4,0),"-")</f>
        <v>-</v>
      </c>
      <c r="O92" s="88"/>
      <c r="P92" s="89" t="str">
        <f>IFERROR(Tableau2613[[#This Row],[% pop.]]*$P$107/$N$107,"-")</f>
        <v>-</v>
      </c>
      <c r="R92" s="183" t="str">
        <f>IFERROR(Tableau2613[[#This Row],[Clé retenue]]*$R$89,"-")</f>
        <v>-</v>
      </c>
      <c r="T92" s="155"/>
    </row>
    <row r="93" spans="2:20" ht="15">
      <c r="B93" s="165" t="s">
        <v>106</v>
      </c>
      <c r="C93" s="166" t="s">
        <v>100</v>
      </c>
      <c r="D93" s="166" t="s">
        <v>107</v>
      </c>
      <c r="E93" s="166">
        <v>2025</v>
      </c>
      <c r="F93" s="167">
        <v>314034710.82009</v>
      </c>
      <c r="G93" s="163">
        <f t="shared" si="8"/>
        <v>3.9117229104909483E-4</v>
      </c>
      <c r="J93" s="164">
        <f t="shared" si="9"/>
        <v>0</v>
      </c>
      <c r="M93" s="86"/>
      <c r="N93" s="87" t="str">
        <f>IFERROR(VLOOKUP(Tableau2613[[#This Row],[Domaines d''intervention]],$D$6:$G$42,4,0),"-")</f>
        <v>-</v>
      </c>
      <c r="O93" s="88"/>
      <c r="P93" s="89" t="str">
        <f>IFERROR(Tableau2613[[#This Row],[% pop.]]*$P$107/$N$107,"-")</f>
        <v>-</v>
      </c>
      <c r="R93" s="183" t="str">
        <f>IFERROR(Tableau2613[[#This Row],[Clé retenue]]*$R$89,"-")</f>
        <v>-</v>
      </c>
      <c r="T93" s="155"/>
    </row>
    <row r="94" spans="2:20" ht="15">
      <c r="B94" s="165" t="s">
        <v>108</v>
      </c>
      <c r="C94" s="166" t="s">
        <v>100</v>
      </c>
      <c r="D94" s="166" t="s">
        <v>109</v>
      </c>
      <c r="E94" s="166">
        <v>2025</v>
      </c>
      <c r="F94" s="167">
        <v>122389992.70778</v>
      </c>
      <c r="G94" s="163">
        <f t="shared" si="8"/>
        <v>1.5245312763025154E-4</v>
      </c>
      <c r="J94" s="164">
        <f t="shared" si="9"/>
        <v>0</v>
      </c>
      <c r="M94" s="86"/>
      <c r="N94" s="87" t="str">
        <f>IFERROR(VLOOKUP(Tableau2613[[#This Row],[Domaines d''intervention]],$D$6:$G$42,4,0),"-")</f>
        <v>-</v>
      </c>
      <c r="O94" s="88"/>
      <c r="P94" s="89" t="str">
        <f>IFERROR(Tableau2613[[#This Row],[% pop.]]*$P$107/$N$107,"-")</f>
        <v>-</v>
      </c>
      <c r="R94" s="183" t="str">
        <f>IFERROR(Tableau2613[[#This Row],[Clé retenue]]*$R$89,"-")</f>
        <v>-</v>
      </c>
      <c r="T94" s="155"/>
    </row>
    <row r="95" spans="2:20" ht="15">
      <c r="B95" s="165" t="s">
        <v>110</v>
      </c>
      <c r="C95" s="166" t="s">
        <v>100</v>
      </c>
      <c r="D95" s="166" t="s">
        <v>111</v>
      </c>
      <c r="E95" s="166">
        <v>2025</v>
      </c>
      <c r="F95" s="167">
        <v>6797709094.3493996</v>
      </c>
      <c r="G95" s="163">
        <f t="shared" si="8"/>
        <v>8.4674570953568971E-3</v>
      </c>
      <c r="J95" s="164">
        <f t="shared" si="9"/>
        <v>0</v>
      </c>
      <c r="M95" s="86"/>
      <c r="N95" s="87" t="str">
        <f>IFERROR(VLOOKUP(Tableau2613[[#This Row],[Domaines d''intervention]],$D$6:$G$42,4,0),"-")</f>
        <v>-</v>
      </c>
      <c r="O95" s="88"/>
      <c r="P95" s="89" t="str">
        <f>IFERROR(Tableau2613[[#This Row],[% pop.]]*$P$107/$N$107,"-")</f>
        <v>-</v>
      </c>
      <c r="R95" s="183" t="str">
        <f>IFERROR(Tableau2613[[#This Row],[Clé retenue]]*$R$89,"-")</f>
        <v>-</v>
      </c>
      <c r="T95" s="155"/>
    </row>
    <row r="96" spans="2:20" ht="15">
      <c r="B96" s="165" t="s">
        <v>112</v>
      </c>
      <c r="C96" s="166" t="s">
        <v>100</v>
      </c>
      <c r="D96" s="166" t="s">
        <v>113</v>
      </c>
      <c r="E96" s="166">
        <v>2025</v>
      </c>
      <c r="F96" s="167">
        <v>3125878141.6575098</v>
      </c>
      <c r="G96" s="163">
        <f t="shared" si="8"/>
        <v>3.8936998748299858E-3</v>
      </c>
      <c r="J96" s="164">
        <f t="shared" si="9"/>
        <v>0</v>
      </c>
      <c r="M96" s="86"/>
      <c r="N96" s="87" t="str">
        <f>IFERROR(VLOOKUP(Tableau2613[[#This Row],[Domaines d''intervention]],$D$6:$G$42,4,0),"-")</f>
        <v>-</v>
      </c>
      <c r="O96" s="88"/>
      <c r="P96" s="89" t="str">
        <f>IFERROR(Tableau2613[[#This Row],[% pop.]]*$P$107/$N$107,"-")</f>
        <v>-</v>
      </c>
      <c r="R96" s="183" t="str">
        <f>IFERROR(Tableau2613[[#This Row],[Clé retenue]]*$R$89,"-")</f>
        <v>-</v>
      </c>
      <c r="T96" s="155"/>
    </row>
    <row r="97" spans="2:20" ht="15">
      <c r="B97" s="165" t="s">
        <v>114</v>
      </c>
      <c r="C97" s="166" t="s">
        <v>100</v>
      </c>
      <c r="D97" s="166" t="s">
        <v>115</v>
      </c>
      <c r="E97" s="166">
        <v>2025</v>
      </c>
      <c r="F97" s="167">
        <v>10596019267.59153</v>
      </c>
      <c r="G97" s="163">
        <f t="shared" si="8"/>
        <v>1.319876112446283E-2</v>
      </c>
      <c r="J97" s="164">
        <f t="shared" si="9"/>
        <v>0</v>
      </c>
      <c r="M97" s="86"/>
      <c r="N97" s="87" t="str">
        <f>IFERROR(VLOOKUP(Tableau2613[[#This Row],[Domaines d''intervention]],$D$6:$G$42,4,0),"-")</f>
        <v>-</v>
      </c>
      <c r="O97" s="88"/>
      <c r="P97" s="89" t="str">
        <f>IFERROR(Tableau2613[[#This Row],[% pop.]]*$P$107/$N$107,"-")</f>
        <v>-</v>
      </c>
      <c r="R97" s="183" t="str">
        <f>IFERROR(Tableau2613[[#This Row],[Clé retenue]]*$R$89,"-")</f>
        <v>-</v>
      </c>
      <c r="T97" s="155"/>
    </row>
    <row r="98" spans="2:20" ht="15">
      <c r="B98" s="168"/>
      <c r="C98" s="170" t="s">
        <v>169</v>
      </c>
      <c r="D98" s="170"/>
      <c r="E98" s="170">
        <v>2025</v>
      </c>
      <c r="F98" s="171">
        <v>227740902679.11545</v>
      </c>
      <c r="G98" s="172">
        <f t="shared" si="8"/>
        <v>0.28368179566498852</v>
      </c>
      <c r="J98" s="174">
        <f t="shared" si="9"/>
        <v>0</v>
      </c>
      <c r="M98" s="86"/>
      <c r="N98" s="87" t="str">
        <f>IFERROR(VLOOKUP(Tableau2613[[#This Row],[Domaines d''intervention]],$D$6:$G$42,4,0),"-")</f>
        <v>-</v>
      </c>
      <c r="O98" s="88"/>
      <c r="P98" s="89" t="str">
        <f>IFERROR(Tableau2613[[#This Row],[% pop.]]*$P$107/$N$107,"-")</f>
        <v>-</v>
      </c>
      <c r="R98" s="183" t="str">
        <f>IFERROR(Tableau2613[[#This Row],[Clé retenue]]*$R$89,"-")</f>
        <v>-</v>
      </c>
      <c r="T98" s="155"/>
    </row>
    <row r="99" spans="2:20" ht="15">
      <c r="B99" s="165" t="s">
        <v>116</v>
      </c>
      <c r="C99" s="166" t="s">
        <v>117</v>
      </c>
      <c r="D99" s="166" t="s">
        <v>118</v>
      </c>
      <c r="E99" s="166">
        <v>2025</v>
      </c>
      <c r="F99" s="167">
        <v>11136247433.193588</v>
      </c>
      <c r="G99" s="163">
        <f t="shared" si="8"/>
        <v>1.3871687657571055E-2</v>
      </c>
      <c r="J99" s="164">
        <f t="shared" si="9"/>
        <v>0</v>
      </c>
      <c r="M99" s="86"/>
      <c r="N99" s="87" t="str">
        <f>IFERROR(VLOOKUP(Tableau2613[[#This Row],[Domaines d''intervention]],$D$6:$G$42,4,0),"-")</f>
        <v>-</v>
      </c>
      <c r="O99" s="88"/>
      <c r="P99" s="89" t="str">
        <f>IFERROR(Tableau2613[[#This Row],[% pop.]]*$P$107/$N$107,"-")</f>
        <v>-</v>
      </c>
      <c r="R99" s="183" t="str">
        <f>IFERROR(Tableau2613[[#This Row],[Clé retenue]]*$R$89,"-")</f>
        <v>-</v>
      </c>
      <c r="T99" s="155"/>
    </row>
    <row r="100" spans="2:20" ht="15">
      <c r="B100" s="165" t="s">
        <v>119</v>
      </c>
      <c r="C100" s="166" t="s">
        <v>117</v>
      </c>
      <c r="D100" s="166" t="s">
        <v>120</v>
      </c>
      <c r="E100" s="166">
        <v>2025</v>
      </c>
      <c r="F100" s="167">
        <v>119770547029.86713</v>
      </c>
      <c r="G100" s="163">
        <f t="shared" si="8"/>
        <v>0.14919025721560222</v>
      </c>
      <c r="J100" s="164">
        <f t="shared" si="9"/>
        <v>0</v>
      </c>
      <c r="M100" s="86"/>
      <c r="N100" s="87" t="str">
        <f>IFERROR(VLOOKUP(Tableau2613[[#This Row],[Domaines d''intervention]],$D$6:$G$42,4,0),"-")</f>
        <v>-</v>
      </c>
      <c r="O100" s="88"/>
      <c r="P100" s="89" t="str">
        <f>IFERROR(Tableau2613[[#This Row],[% pop.]]*$P$107/$N$107,"-")</f>
        <v>-</v>
      </c>
      <c r="R100" s="183" t="str">
        <f>IFERROR(Tableau2613[[#This Row],[Clé retenue]]*$R$89,"-")</f>
        <v>-</v>
      </c>
      <c r="T100" s="155"/>
    </row>
    <row r="101" spans="2:20" ht="15">
      <c r="B101" s="168"/>
      <c r="C101" s="170" t="s">
        <v>170</v>
      </c>
      <c r="D101" s="170"/>
      <c r="E101" s="170">
        <v>2025</v>
      </c>
      <c r="F101" s="171">
        <v>130906794463.06071</v>
      </c>
      <c r="G101" s="172">
        <f t="shared" si="8"/>
        <v>0.16306194487317327</v>
      </c>
      <c r="J101" s="174">
        <f t="shared" si="9"/>
        <v>0</v>
      </c>
      <c r="M101" s="86"/>
      <c r="N101" s="87" t="str">
        <f>IFERROR(VLOOKUP(Tableau2613[[#This Row],[Domaines d''intervention]],$D$6:$G$42,4,0),"-")</f>
        <v>-</v>
      </c>
      <c r="O101" s="88"/>
      <c r="P101" s="89" t="str">
        <f>IFERROR(Tableau2613[[#This Row],[% pop.]]*$P$107/$N$107,"-")</f>
        <v>-</v>
      </c>
      <c r="R101" s="183" t="str">
        <f>IFERROR(Tableau2613[[#This Row],[Clé retenue]]*$R$89,"-")</f>
        <v>-</v>
      </c>
      <c r="T101" s="155"/>
    </row>
    <row r="102" spans="2:20" ht="15">
      <c r="B102" s="165" t="s">
        <v>121</v>
      </c>
      <c r="C102" s="166" t="s">
        <v>122</v>
      </c>
      <c r="D102" s="166" t="s">
        <v>123</v>
      </c>
      <c r="E102" s="166">
        <v>2025</v>
      </c>
      <c r="F102" s="167">
        <v>92460443491.319901</v>
      </c>
      <c r="G102" s="163">
        <f t="shared" si="8"/>
        <v>0.11517186561149143</v>
      </c>
      <c r="J102" s="164">
        <f t="shared" si="9"/>
        <v>0</v>
      </c>
      <c r="M102" s="86"/>
      <c r="N102" s="87" t="str">
        <f>IFERROR(VLOOKUP(Tableau2613[[#This Row],[Domaines d''intervention]],$D$6:$G$42,4,0),"-")</f>
        <v>-</v>
      </c>
      <c r="O102" s="88"/>
      <c r="P102" s="89" t="str">
        <f>IFERROR(Tableau2613[[#This Row],[% pop.]]*$P$107/$N$107,"-")</f>
        <v>-</v>
      </c>
      <c r="R102" s="183" t="str">
        <f>IFERROR(Tableau2613[[#This Row],[Clé retenue]]*$R$89,"-")</f>
        <v>-</v>
      </c>
      <c r="T102" s="155"/>
    </row>
    <row r="103" spans="2:20" ht="15">
      <c r="B103" s="165" t="s">
        <v>124</v>
      </c>
      <c r="C103" s="166" t="s">
        <v>122</v>
      </c>
      <c r="D103" s="166" t="s">
        <v>125</v>
      </c>
      <c r="E103" s="166">
        <v>2025</v>
      </c>
      <c r="F103" s="167">
        <v>10154064314.645399</v>
      </c>
      <c r="G103" s="163">
        <f t="shared" si="8"/>
        <v>1.2648247039465788E-2</v>
      </c>
      <c r="J103" s="164">
        <f t="shared" si="9"/>
        <v>0</v>
      </c>
      <c r="M103" s="86"/>
      <c r="N103" s="87" t="str">
        <f>IFERROR(VLOOKUP(Tableau2613[[#This Row],[Domaines d''intervention]],$D$6:$G$42,4,0),"-")</f>
        <v>-</v>
      </c>
      <c r="O103" s="88"/>
      <c r="P103" s="89" t="str">
        <f>IFERROR(Tableau2613[[#This Row],[% pop.]]*$P$107/$N$107,"-")</f>
        <v>-</v>
      </c>
      <c r="R103" s="183" t="str">
        <f>IFERROR(Tableau2613[[#This Row],[Clé retenue]]*$R$89,"-")</f>
        <v>-</v>
      </c>
      <c r="T103" s="155"/>
    </row>
    <row r="104" spans="2:20" ht="15">
      <c r="B104" s="165" t="s">
        <v>126</v>
      </c>
      <c r="C104" s="166" t="s">
        <v>122</v>
      </c>
      <c r="D104" s="166" t="s">
        <v>127</v>
      </c>
      <c r="E104" s="166">
        <v>2025</v>
      </c>
      <c r="F104" s="167">
        <v>65857756170.769608</v>
      </c>
      <c r="G104" s="163">
        <f t="shared" si="8"/>
        <v>8.2034655651271202E-2</v>
      </c>
      <c r="J104" s="164">
        <f t="shared" si="9"/>
        <v>0</v>
      </c>
      <c r="M104" s="86"/>
      <c r="N104" s="87" t="str">
        <f>IFERROR(VLOOKUP(Tableau2613[[#This Row],[Domaines d''intervention]],$D$6:$G$42,4,0),"-")</f>
        <v>-</v>
      </c>
      <c r="O104" s="88"/>
      <c r="P104" s="89" t="str">
        <f>IFERROR(Tableau2613[[#This Row],[% pop.]]*$P$107/$N$107,"-")</f>
        <v>-</v>
      </c>
      <c r="R104" s="183" t="str">
        <f>IFERROR(Tableau2613[[#This Row],[Clé retenue]]*$R$89,"-")</f>
        <v>-</v>
      </c>
      <c r="T104" s="155"/>
    </row>
    <row r="105" spans="2:20" ht="15">
      <c r="B105" s="165" t="s">
        <v>128</v>
      </c>
      <c r="C105" s="166" t="s">
        <v>122</v>
      </c>
      <c r="D105" s="166" t="s">
        <v>129</v>
      </c>
      <c r="E105" s="166">
        <v>2025</v>
      </c>
      <c r="F105" s="167">
        <v>34451433311.030746</v>
      </c>
      <c r="G105" s="163">
        <f t="shared" si="8"/>
        <v>4.291387427526009E-2</v>
      </c>
      <c r="J105" s="164">
        <f t="shared" si="9"/>
        <v>0</v>
      </c>
      <c r="M105" s="86"/>
      <c r="N105" s="87" t="str">
        <f>IFERROR(VLOOKUP(Tableau2613[[#This Row],[Domaines d''intervention]],$D$6:$G$42,4,0),"-")</f>
        <v>-</v>
      </c>
      <c r="O105" s="88"/>
      <c r="P105" s="89" t="str">
        <f>IFERROR(Tableau2613[[#This Row],[% pop.]]*$P$107/$N$107,"-")</f>
        <v>-</v>
      </c>
      <c r="R105" s="183" t="str">
        <f>IFERROR(Tableau2613[[#This Row],[Clé retenue]]*$R$89,"-")</f>
        <v>-</v>
      </c>
      <c r="T105" s="155"/>
    </row>
    <row r="106" spans="2:20" ht="15">
      <c r="B106" s="165" t="s">
        <v>130</v>
      </c>
      <c r="C106" s="166" t="s">
        <v>122</v>
      </c>
      <c r="D106" s="166" t="s">
        <v>131</v>
      </c>
      <c r="E106" s="166">
        <v>2025</v>
      </c>
      <c r="F106" s="167">
        <v>81299869225.301407</v>
      </c>
      <c r="G106" s="163">
        <f t="shared" si="8"/>
        <v>0.10126987562554006</v>
      </c>
      <c r="J106" s="164">
        <f t="shared" si="9"/>
        <v>0</v>
      </c>
      <c r="M106" s="86"/>
      <c r="N106" s="87" t="str">
        <f>IFERROR(VLOOKUP(Tableau2613[[#This Row],[Domaines d''intervention]],$D$6:$G$42,4,0),"-")</f>
        <v>-</v>
      </c>
      <c r="O106" s="88"/>
      <c r="P106" s="89" t="str">
        <f>IFERROR(Tableau2613[[#This Row],[% pop.]]*$P$107/$N$107,"-")</f>
        <v>-</v>
      </c>
      <c r="R106" s="183" t="str">
        <f>IFERROR(Tableau2613[[#This Row],[Clé retenue]]*$R$89,"-")</f>
        <v>-</v>
      </c>
      <c r="T106" s="155"/>
    </row>
    <row r="107" spans="2:20" ht="15">
      <c r="B107" s="165" t="s">
        <v>132</v>
      </c>
      <c r="C107" s="166" t="s">
        <v>122</v>
      </c>
      <c r="D107" s="166" t="s">
        <v>133</v>
      </c>
      <c r="E107" s="166">
        <v>2025</v>
      </c>
      <c r="F107" s="167">
        <v>77235867.929680005</v>
      </c>
      <c r="G107" s="163">
        <f t="shared" si="8"/>
        <v>9.6207617719453153E-5</v>
      </c>
      <c r="J107" s="164">
        <f t="shared" si="9"/>
        <v>0</v>
      </c>
      <c r="M107" s="93" t="s">
        <v>246</v>
      </c>
      <c r="N107" s="87" cm="1">
        <f t="array" ref="N107">SUM(IF(ISERROR(N92:N106),0,N92:N106))</f>
        <v>0</v>
      </c>
      <c r="O107" s="94"/>
      <c r="P107" s="95">
        <v>1</v>
      </c>
      <c r="T107" s="155"/>
    </row>
    <row r="108" spans="2:20">
      <c r="B108" s="165" t="s">
        <v>134</v>
      </c>
      <c r="C108" s="166" t="s">
        <v>122</v>
      </c>
      <c r="D108" s="166" t="s">
        <v>135</v>
      </c>
      <c r="E108" s="166">
        <v>2025</v>
      </c>
      <c r="F108" s="167">
        <v>23431760124.6964</v>
      </c>
      <c r="G108" s="163">
        <f t="shared" si="8"/>
        <v>2.9187395454961091E-2</v>
      </c>
      <c r="J108" s="164">
        <f t="shared" si="9"/>
        <v>0</v>
      </c>
      <c r="P108" s="164"/>
    </row>
    <row r="109" spans="2:20">
      <c r="B109" s="165" t="s">
        <v>136</v>
      </c>
      <c r="C109" s="166" t="s">
        <v>122</v>
      </c>
      <c r="D109" s="166" t="s">
        <v>137</v>
      </c>
      <c r="E109" s="166">
        <v>2025</v>
      </c>
      <c r="F109" s="167">
        <v>3242044106.5602598</v>
      </c>
      <c r="G109" s="163">
        <f t="shared" si="8"/>
        <v>4.0384001422439616E-3</v>
      </c>
      <c r="J109" s="164">
        <f t="shared" si="9"/>
        <v>0</v>
      </c>
      <c r="P109" s="164"/>
    </row>
    <row r="110" spans="2:20">
      <c r="B110" s="165" t="s">
        <v>138</v>
      </c>
      <c r="C110" s="166" t="s">
        <v>122</v>
      </c>
      <c r="D110" s="166" t="s">
        <v>139</v>
      </c>
      <c r="E110" s="166">
        <v>2025</v>
      </c>
      <c r="F110" s="167">
        <v>2503928193.98704</v>
      </c>
      <c r="G110" s="163">
        <f t="shared" si="8"/>
        <v>3.1189779171432682E-3</v>
      </c>
      <c r="J110" s="164">
        <f t="shared" si="9"/>
        <v>0</v>
      </c>
    </row>
    <row r="111" spans="2:20">
      <c r="B111" s="165" t="s">
        <v>140</v>
      </c>
      <c r="C111" s="166" t="s">
        <v>122</v>
      </c>
      <c r="D111" s="166" t="s">
        <v>141</v>
      </c>
      <c r="E111" s="166">
        <v>2025</v>
      </c>
      <c r="F111" s="167">
        <v>151204713.28238001</v>
      </c>
      <c r="G111" s="163">
        <f t="shared" si="8"/>
        <v>1.8834572126638375E-4</v>
      </c>
      <c r="J111" s="164">
        <f t="shared" si="9"/>
        <v>0</v>
      </c>
    </row>
    <row r="112" spans="2:20">
      <c r="B112" s="165" t="s">
        <v>142</v>
      </c>
      <c r="C112" s="166" t="s">
        <v>122</v>
      </c>
      <c r="D112" s="166" t="s">
        <v>143</v>
      </c>
      <c r="E112" s="166">
        <v>2025</v>
      </c>
      <c r="F112" s="167">
        <v>1078923742.06005</v>
      </c>
      <c r="G112" s="163">
        <f t="shared" si="8"/>
        <v>1.3439440211775869E-3</v>
      </c>
      <c r="J112" s="164">
        <f t="shared" si="9"/>
        <v>0</v>
      </c>
    </row>
    <row r="113" spans="2:10">
      <c r="B113" s="165" t="s">
        <v>144</v>
      </c>
      <c r="C113" s="166" t="s">
        <v>122</v>
      </c>
      <c r="D113" s="166" t="s">
        <v>145</v>
      </c>
      <c r="E113" s="166">
        <v>2025</v>
      </c>
      <c r="F113" s="167">
        <v>27844522701.985199</v>
      </c>
      <c r="G113" s="163">
        <f t="shared" si="8"/>
        <v>3.4684082247022997E-2</v>
      </c>
      <c r="J113" s="164">
        <f t="shared" si="9"/>
        <v>0</v>
      </c>
    </row>
    <row r="114" spans="2:10">
      <c r="B114" s="165" t="s">
        <v>146</v>
      </c>
      <c r="C114" s="166" t="s">
        <v>122</v>
      </c>
      <c r="D114" s="166" t="s">
        <v>147</v>
      </c>
      <c r="E114" s="166">
        <v>2025</v>
      </c>
      <c r="F114" s="167">
        <v>2421918886.2158499</v>
      </c>
      <c r="G114" s="163">
        <f t="shared" si="8"/>
        <v>3.0168243407935978E-3</v>
      </c>
      <c r="J114" s="164">
        <f t="shared" si="9"/>
        <v>0</v>
      </c>
    </row>
    <row r="115" spans="2:10">
      <c r="B115" s="165" t="s">
        <v>148</v>
      </c>
      <c r="C115" s="166" t="s">
        <v>122</v>
      </c>
      <c r="D115" s="166" t="s">
        <v>149</v>
      </c>
      <c r="E115" s="166">
        <v>2025</v>
      </c>
      <c r="F115" s="167">
        <v>28646308481.508556</v>
      </c>
      <c r="G115" s="163">
        <f t="shared" si="8"/>
        <v>3.5682813818726282E-2</v>
      </c>
      <c r="J115" s="164">
        <f t="shared" si="9"/>
        <v>0</v>
      </c>
    </row>
    <row r="116" spans="2:10">
      <c r="B116" s="165" t="s">
        <v>150</v>
      </c>
      <c r="C116" s="166" t="s">
        <v>122</v>
      </c>
      <c r="D116" s="166" t="s">
        <v>151</v>
      </c>
      <c r="E116" s="166">
        <v>2025</v>
      </c>
      <c r="F116" s="167">
        <v>30975836528.157684</v>
      </c>
      <c r="G116" s="163">
        <f t="shared" si="8"/>
        <v>3.8584552994918545E-2</v>
      </c>
      <c r="J116" s="164">
        <f t="shared" si="9"/>
        <v>0</v>
      </c>
    </row>
    <row r="117" spans="2:10">
      <c r="B117" s="168"/>
      <c r="C117" s="170" t="s">
        <v>171</v>
      </c>
      <c r="D117" s="170"/>
      <c r="E117" s="170">
        <v>2025</v>
      </c>
      <c r="F117" s="171">
        <v>404597249859.4502</v>
      </c>
      <c r="G117" s="172">
        <f t="shared" si="8"/>
        <v>0.50398006247900173</v>
      </c>
      <c r="J117" s="174">
        <f t="shared" si="9"/>
        <v>0</v>
      </c>
    </row>
    <row r="118" spans="2:10">
      <c r="B118" s="165" t="s">
        <v>152</v>
      </c>
      <c r="C118" s="166" t="s">
        <v>153</v>
      </c>
      <c r="D118" s="166" t="s">
        <v>154</v>
      </c>
      <c r="E118" s="166">
        <v>2025</v>
      </c>
      <c r="F118" s="167">
        <v>8708103685.2405396</v>
      </c>
      <c r="G118" s="163">
        <f t="shared" si="8"/>
        <v>1.0847109417786976E-2</v>
      </c>
      <c r="J118" s="164">
        <f t="shared" si="9"/>
        <v>0</v>
      </c>
    </row>
    <row r="119" spans="2:10">
      <c r="B119" s="165" t="s">
        <v>155</v>
      </c>
      <c r="C119" s="166" t="s">
        <v>153</v>
      </c>
      <c r="D119" s="166" t="s">
        <v>156</v>
      </c>
      <c r="E119" s="166">
        <v>2025</v>
      </c>
      <c r="F119" s="167">
        <v>4032453460.918169</v>
      </c>
      <c r="G119" s="163">
        <f t="shared" si="8"/>
        <v>5.0229608527571105E-3</v>
      </c>
      <c r="J119" s="164">
        <f t="shared" si="9"/>
        <v>0</v>
      </c>
    </row>
    <row r="120" spans="2:10">
      <c r="B120" s="165" t="s">
        <v>157</v>
      </c>
      <c r="C120" s="166" t="s">
        <v>153</v>
      </c>
      <c r="D120" s="166" t="s">
        <v>158</v>
      </c>
      <c r="E120" s="166">
        <v>2025</v>
      </c>
      <c r="F120" s="167">
        <v>1728194340.3935008</v>
      </c>
      <c r="G120" s="163">
        <f t="shared" si="8"/>
        <v>2.1526975083244757E-3</v>
      </c>
      <c r="J120" s="164">
        <f t="shared" si="9"/>
        <v>0</v>
      </c>
    </row>
    <row r="121" spans="2:10">
      <c r="B121" s="165" t="s">
        <v>159</v>
      </c>
      <c r="C121" s="166" t="s">
        <v>153</v>
      </c>
      <c r="D121" s="166" t="s">
        <v>160</v>
      </c>
      <c r="E121" s="166">
        <v>2025</v>
      </c>
      <c r="F121" s="167">
        <v>1036559848.7081801</v>
      </c>
      <c r="G121" s="163">
        <f t="shared" si="8"/>
        <v>1.2911741182043315E-3</v>
      </c>
      <c r="J121" s="164">
        <f t="shared" si="9"/>
        <v>0</v>
      </c>
    </row>
    <row r="122" spans="2:10">
      <c r="B122" s="168"/>
      <c r="C122" s="170" t="s">
        <v>172</v>
      </c>
      <c r="D122" s="170"/>
      <c r="E122" s="170">
        <v>2025</v>
      </c>
      <c r="F122" s="171">
        <v>15505311335.260389</v>
      </c>
      <c r="G122" s="172">
        <f t="shared" si="8"/>
        <v>1.9313941897072893E-2</v>
      </c>
      <c r="J122" s="174">
        <f t="shared" si="9"/>
        <v>0</v>
      </c>
    </row>
    <row r="123" spans="2:10">
      <c r="B123" s="165" t="s">
        <v>161</v>
      </c>
      <c r="C123" s="166" t="s">
        <v>162</v>
      </c>
      <c r="D123" s="166" t="s">
        <v>163</v>
      </c>
      <c r="E123" s="166">
        <v>2025</v>
      </c>
      <c r="F123" s="167">
        <v>12579015062.21347</v>
      </c>
      <c r="G123" s="163">
        <f t="shared" si="8"/>
        <v>1.5668847969631288E-2</v>
      </c>
      <c r="J123" s="164">
        <f t="shared" si="9"/>
        <v>0</v>
      </c>
    </row>
    <row r="124" spans="2:10">
      <c r="B124" s="165" t="s">
        <v>164</v>
      </c>
      <c r="C124" s="166" t="s">
        <v>162</v>
      </c>
      <c r="D124" s="166" t="s">
        <v>165</v>
      </c>
      <c r="E124" s="166">
        <v>2025</v>
      </c>
      <c r="F124" s="167">
        <v>10040454842.85557</v>
      </c>
      <c r="G124" s="163">
        <f t="shared" si="8"/>
        <v>1.2506731226615516E-2</v>
      </c>
      <c r="J124" s="164">
        <f t="shared" si="9"/>
        <v>0</v>
      </c>
    </row>
    <row r="125" spans="2:10">
      <c r="B125" s="165" t="s">
        <v>166</v>
      </c>
      <c r="C125" s="166" t="s">
        <v>162</v>
      </c>
      <c r="D125" s="166" t="s">
        <v>167</v>
      </c>
      <c r="E125" s="166">
        <v>2025</v>
      </c>
      <c r="F125" s="167">
        <v>1434350691.8365102</v>
      </c>
      <c r="G125" s="163">
        <f t="shared" si="8"/>
        <v>1.7866758895165025E-3</v>
      </c>
      <c r="J125" s="164">
        <f t="shared" si="9"/>
        <v>0</v>
      </c>
    </row>
    <row r="126" spans="2:10">
      <c r="B126" s="168"/>
      <c r="C126" s="170" t="s">
        <v>173</v>
      </c>
      <c r="D126" s="170"/>
      <c r="E126" s="170">
        <v>2025</v>
      </c>
      <c r="F126" s="171">
        <v>24053820596.905548</v>
      </c>
      <c r="G126" s="172">
        <f t="shared" si="8"/>
        <v>2.9962255085763303E-2</v>
      </c>
      <c r="J126" s="174">
        <f t="shared" si="9"/>
        <v>0</v>
      </c>
    </row>
    <row r="127" spans="2:10">
      <c r="B127" s="179"/>
      <c r="C127" s="179" t="s">
        <v>179</v>
      </c>
      <c r="D127" s="179"/>
      <c r="E127" s="179"/>
      <c r="F127" s="180">
        <v>802804078933.79248</v>
      </c>
      <c r="G127" s="181">
        <f t="shared" si="8"/>
        <v>1</v>
      </c>
      <c r="J127" s="174">
        <f t="shared" si="9"/>
        <v>0</v>
      </c>
    </row>
  </sheetData>
  <sheetProtection algorithmName="SHA-512" hashValue="M/Mbgl05e+/rjiPyJrEepWjazjz4iWqjTzBxXchQQT6CiLYDx+TjvU5kdOuDMOAt3a7EuNHGl5ZCRyOWtDrrpA==" saltValue="+VYcBESoVd9spjXkqlvJ9g==" spinCount="100000" sheet="1" objects="1" scenarios="1"/>
  <dataConsolidate/>
  <dataValidations count="1">
    <dataValidation type="list" allowBlank="1" showInputMessage="1" showErrorMessage="1" sqref="M92:M106" xr:uid="{8C51B6DC-865E-4161-8E6F-13B06A4CAF23}">
      <formula1>$D$6:$D$42</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D66C-D2B8-4E0F-A69F-12D0C791B46C}">
  <dimension ref="B1:G28"/>
  <sheetViews>
    <sheetView showGridLines="0" zoomScale="80" workbookViewId="0">
      <selection activeCell="B18" sqref="B18"/>
    </sheetView>
  </sheetViews>
  <sheetFormatPr baseColWidth="10" defaultColWidth="10.85546875" defaultRowHeight="14.25"/>
  <cols>
    <col min="1" max="1" width="3.5703125" style="123" customWidth="1"/>
    <col min="2" max="2" width="35.42578125" style="123" customWidth="1"/>
    <col min="3" max="3" width="13.85546875" style="123" customWidth="1"/>
    <col min="4" max="4" width="12.7109375" style="123" customWidth="1"/>
    <col min="5" max="5" width="10.85546875" style="123" bestFit="1" customWidth="1"/>
    <col min="6" max="6" width="16.7109375" style="123" customWidth="1"/>
    <col min="7" max="7" width="11.28515625" style="123" bestFit="1" customWidth="1"/>
    <col min="8" max="16384" width="10.85546875" style="123"/>
  </cols>
  <sheetData>
    <row r="1" spans="2:7">
      <c r="B1" s="31" t="s">
        <v>184</v>
      </c>
      <c r="C1" s="122"/>
      <c r="D1" s="122"/>
    </row>
    <row r="2" spans="2:7">
      <c r="B2" s="33" t="s">
        <v>183</v>
      </c>
      <c r="C2" s="122"/>
      <c r="D2" s="122"/>
    </row>
    <row r="3" spans="2:7">
      <c r="B3" s="34"/>
      <c r="F3" s="67" t="s">
        <v>91</v>
      </c>
      <c r="G3" s="68"/>
    </row>
    <row r="4" spans="2:7" ht="25.5">
      <c r="B4" s="124" t="s">
        <v>190</v>
      </c>
      <c r="C4" s="125"/>
      <c r="D4" s="118" t="s">
        <v>174</v>
      </c>
    </row>
    <row r="5" spans="2:7">
      <c r="B5" s="123" t="s">
        <v>185</v>
      </c>
      <c r="D5" s="126">
        <v>0.14000000000000001</v>
      </c>
      <c r="G5" s="127">
        <f>D5*$G$3</f>
        <v>0</v>
      </c>
    </row>
    <row r="6" spans="2:7">
      <c r="B6" s="123" t="s">
        <v>186</v>
      </c>
      <c r="D6" s="126">
        <v>0.02</v>
      </c>
      <c r="G6" s="127">
        <f t="shared" ref="G6:G10" si="0">D6*$G$3</f>
        <v>0</v>
      </c>
    </row>
    <row r="7" spans="2:7">
      <c r="B7" s="123" t="s">
        <v>187</v>
      </c>
      <c r="D7" s="128">
        <v>0.6</v>
      </c>
      <c r="G7" s="127">
        <f t="shared" si="0"/>
        <v>0</v>
      </c>
    </row>
    <row r="8" spans="2:7">
      <c r="B8" s="123" t="s">
        <v>188</v>
      </c>
      <c r="D8" s="126">
        <v>0.14000000000000001</v>
      </c>
      <c r="G8" s="127">
        <f t="shared" si="0"/>
        <v>0</v>
      </c>
    </row>
    <row r="9" spans="2:7">
      <c r="B9" s="123" t="s">
        <v>189</v>
      </c>
      <c r="D9" s="126">
        <v>0.1</v>
      </c>
      <c r="G9" s="127">
        <f t="shared" si="0"/>
        <v>0</v>
      </c>
    </row>
    <row r="10" spans="2:7" ht="15">
      <c r="B10" s="124" t="s">
        <v>43</v>
      </c>
      <c r="C10" s="125"/>
      <c r="D10" s="129">
        <f>SUM(D5:D9)</f>
        <v>1</v>
      </c>
      <c r="G10" s="130">
        <f t="shared" si="0"/>
        <v>0</v>
      </c>
    </row>
    <row r="12" spans="2:7">
      <c r="B12" s="80" t="s">
        <v>240</v>
      </c>
      <c r="C12" s="81"/>
      <c r="D12" s="81"/>
      <c r="E12" s="81"/>
      <c r="F12" s="67" t="s">
        <v>91</v>
      </c>
      <c r="G12" s="68"/>
    </row>
    <row r="13" spans="2:7" ht="15">
      <c r="B13" s="82"/>
      <c r="C13" s="83"/>
      <c r="D13" s="84"/>
      <c r="E13" s="85"/>
      <c r="F13" s="35"/>
      <c r="G13" s="35"/>
    </row>
    <row r="14" spans="2:7" ht="15">
      <c r="B14" s="86" t="s">
        <v>244</v>
      </c>
      <c r="C14" s="87" t="s">
        <v>87</v>
      </c>
      <c r="D14" s="88" t="s">
        <v>236</v>
      </c>
      <c r="E14" s="89" t="s">
        <v>235</v>
      </c>
      <c r="F14" s="35"/>
      <c r="G14" s="35"/>
    </row>
    <row r="15" spans="2:7" ht="15">
      <c r="B15" s="90"/>
      <c r="C15" s="91" t="str">
        <f>IFERROR(VLOOKUP(Tableau2689[[#This Row],[Niveaux de soins]],$B$5:$D$9,3,0),"-")</f>
        <v>-</v>
      </c>
      <c r="D15" s="88"/>
      <c r="E15" s="88" t="str">
        <f>IFERROR(Tableau2689[[#This Row],[% pop.]]*$E$28/$C$28,"-")</f>
        <v>-</v>
      </c>
      <c r="F15" s="35"/>
      <c r="G15" s="75" t="str">
        <f>IFERROR(Tableau2689[[#This Row],[Clé retenue]]*$G$12,"-")</f>
        <v>-</v>
      </c>
    </row>
    <row r="16" spans="2:7" ht="15">
      <c r="B16" s="90"/>
      <c r="C16" s="91" t="str">
        <f>IFERROR(VLOOKUP(Tableau2689[[#This Row],[Niveaux de soins]],$B$5:$D$9,3,0),"-")</f>
        <v>-</v>
      </c>
      <c r="D16" s="35"/>
      <c r="E16" s="88" t="str">
        <f>IFERROR(Tableau2689[[#This Row],[% pop.]]*$E$28/$C$28,"-")</f>
        <v>-</v>
      </c>
      <c r="F16" s="35"/>
      <c r="G16" s="75" t="str">
        <f>IFERROR(Tableau2689[[#This Row],[Clé retenue]]*$G$12,"-")</f>
        <v>-</v>
      </c>
    </row>
    <row r="17" spans="2:7" ht="15">
      <c r="B17" s="90"/>
      <c r="C17" s="91" t="str">
        <f>IFERROR(VLOOKUP(Tableau2689[[#This Row],[Niveaux de soins]],$B$5:$D$9,3,0),"-")</f>
        <v>-</v>
      </c>
      <c r="D17" s="35"/>
      <c r="E17" s="88" t="str">
        <f>IFERROR(Tableau2689[[#This Row],[% pop.]]*$E$28/$C$28,"-")</f>
        <v>-</v>
      </c>
      <c r="F17" s="35"/>
      <c r="G17" s="75" t="str">
        <f>IFERROR(Tableau2689[[#This Row],[Clé retenue]]*$G$12,"-")</f>
        <v>-</v>
      </c>
    </row>
    <row r="18" spans="2:7" ht="15">
      <c r="B18" s="90"/>
      <c r="C18" s="91" t="str">
        <f>IFERROR(VLOOKUP(Tableau2689[[#This Row],[Niveaux de soins]],$B$5:$D$9,3,0),"-")</f>
        <v>-</v>
      </c>
      <c r="D18" s="35"/>
      <c r="E18" s="88" t="str">
        <f>IFERROR(Tableau2689[[#This Row],[% pop.]]*$E$28/$C$28,"-")</f>
        <v>-</v>
      </c>
      <c r="F18" s="35"/>
      <c r="G18" s="75" t="str">
        <f>IFERROR(Tableau2689[[#This Row],[Clé retenue]]*$G$12,"-")</f>
        <v>-</v>
      </c>
    </row>
    <row r="19" spans="2:7" ht="15">
      <c r="B19" s="90"/>
      <c r="C19" s="91" t="str">
        <f>IFERROR(VLOOKUP(Tableau2689[[#This Row],[Niveaux de soins]],$B$5:$D$9,3,0),"-")</f>
        <v>-</v>
      </c>
      <c r="D19" s="35"/>
      <c r="E19" s="88" t="str">
        <f>IFERROR(Tableau2689[[#This Row],[% pop.]]*$E$28/$C$28,"-")</f>
        <v>-</v>
      </c>
      <c r="F19" s="35"/>
      <c r="G19" s="75" t="str">
        <f>IFERROR(Tableau2689[[#This Row],[Clé retenue]]*$G$12,"-")</f>
        <v>-</v>
      </c>
    </row>
    <row r="20" spans="2:7" ht="15">
      <c r="B20" s="90"/>
      <c r="C20" s="91" t="str">
        <f>IFERROR(VLOOKUP(Tableau2689[[#This Row],[Niveaux de soins]],$B$5:$D$9,3,0),"-")</f>
        <v>-</v>
      </c>
      <c r="D20" s="35"/>
      <c r="E20" s="88" t="str">
        <f>IFERROR(Tableau2689[[#This Row],[% pop.]]*$E$28/$C$28,"-")</f>
        <v>-</v>
      </c>
      <c r="F20" s="35"/>
      <c r="G20" s="75" t="str">
        <f>IFERROR(Tableau2689[[#This Row],[Clé retenue]]*$G$12,"-")</f>
        <v>-</v>
      </c>
    </row>
    <row r="21" spans="2:7" ht="15">
      <c r="B21" s="90"/>
      <c r="C21" s="91" t="str">
        <f>IFERROR(VLOOKUP(Tableau2689[[#This Row],[Niveaux de soins]],$B$5:$D$9,3,0),"-")</f>
        <v>-</v>
      </c>
      <c r="D21" s="35"/>
      <c r="E21" s="88" t="str">
        <f>IFERROR(Tableau2689[[#This Row],[% pop.]]*$E$28/$C$28,"-")</f>
        <v>-</v>
      </c>
      <c r="F21" s="35"/>
      <c r="G21" s="75" t="str">
        <f>IFERROR(Tableau2689[[#This Row],[Clé retenue]]*$G$12,"-")</f>
        <v>-</v>
      </c>
    </row>
    <row r="22" spans="2:7" ht="15">
      <c r="B22" s="90"/>
      <c r="C22" s="91" t="str">
        <f>IFERROR(VLOOKUP(Tableau2689[[#This Row],[Niveaux de soins]],$B$5:$D$9,3,0),"-")</f>
        <v>-</v>
      </c>
      <c r="D22" s="35"/>
      <c r="E22" s="88" t="str">
        <f>IFERROR(Tableau2689[[#This Row],[% pop.]]*$E$28/$C$28,"-")</f>
        <v>-</v>
      </c>
      <c r="F22" s="35"/>
      <c r="G22" s="75" t="str">
        <f>IFERROR(Tableau2689[[#This Row],[Clé retenue]]*$G$12,"-")</f>
        <v>-</v>
      </c>
    </row>
    <row r="23" spans="2:7" ht="15">
      <c r="B23" s="90"/>
      <c r="C23" s="91" t="str">
        <f>IFERROR(VLOOKUP(Tableau2689[[#This Row],[Niveaux de soins]],$B$5:$D$9,3,0),"-")</f>
        <v>-</v>
      </c>
      <c r="D23" s="35"/>
      <c r="E23" s="88" t="str">
        <f>IFERROR(Tableau2689[[#This Row],[% pop.]]*$E$28/$C$28,"-")</f>
        <v>-</v>
      </c>
      <c r="F23" s="35"/>
      <c r="G23" s="75" t="str">
        <f>IFERROR(Tableau2689[[#This Row],[Clé retenue]]*$G$12,"-")</f>
        <v>-</v>
      </c>
    </row>
    <row r="24" spans="2:7" ht="15">
      <c r="B24" s="90"/>
      <c r="C24" s="91" t="str">
        <f>IFERROR(VLOOKUP(Tableau2689[[#This Row],[Niveaux de soins]],$B$5:$D$9,3,0),"-")</f>
        <v>-</v>
      </c>
      <c r="D24" s="35"/>
      <c r="E24" s="88" t="str">
        <f>IFERROR(Tableau2689[[#This Row],[% pop.]]*$E$28/$C$28,"-")</f>
        <v>-</v>
      </c>
      <c r="F24" s="35"/>
      <c r="G24" s="75" t="str">
        <f>IFERROR(Tableau2689[[#This Row],[Clé retenue]]*$G$12,"-")</f>
        <v>-</v>
      </c>
    </row>
    <row r="25" spans="2:7" ht="15">
      <c r="B25" s="90"/>
      <c r="C25" s="91" t="str">
        <f>IFERROR(VLOOKUP(Tableau2689[[#This Row],[Niveaux de soins]],$B$5:$D$9,3,0),"-")</f>
        <v>-</v>
      </c>
      <c r="D25" s="35"/>
      <c r="E25" s="88" t="str">
        <f>IFERROR(Tableau2689[[#This Row],[% pop.]]*$E$28/$C$28,"-")</f>
        <v>-</v>
      </c>
      <c r="F25" s="35"/>
      <c r="G25" s="75" t="str">
        <f>IFERROR(Tableau2689[[#This Row],[Clé retenue]]*$G$12,"-")</f>
        <v>-</v>
      </c>
    </row>
    <row r="26" spans="2:7" ht="15">
      <c r="B26" s="90"/>
      <c r="C26" s="91" t="str">
        <f>IFERROR(VLOOKUP(Tableau2689[[#This Row],[Niveaux de soins]],$B$5:$D$9,3,0),"-")</f>
        <v>-</v>
      </c>
      <c r="D26" s="35"/>
      <c r="E26" s="88" t="str">
        <f>IFERROR(Tableau2689[[#This Row],[% pop.]]*$E$28/$C$28,"-")</f>
        <v>-</v>
      </c>
      <c r="F26" s="35"/>
      <c r="G26" s="75" t="str">
        <f>IFERROR(Tableau2689[[#This Row],[Clé retenue]]*$G$12,"-")</f>
        <v>-</v>
      </c>
    </row>
    <row r="27" spans="2:7" ht="15">
      <c r="B27" s="90"/>
      <c r="C27" s="91" t="str">
        <f>IFERROR(VLOOKUP(Tableau2689[[#This Row],[Niveaux de soins]],$B$5:$D$9,3,0),"-")</f>
        <v>-</v>
      </c>
      <c r="D27" s="35"/>
      <c r="E27" s="88" t="str">
        <f>IFERROR(Tableau2689[[#This Row],[% pop.]]*$E$28/$C$28,"-")</f>
        <v>-</v>
      </c>
      <c r="F27" s="35"/>
      <c r="G27" s="75" t="str">
        <f>IFERROR(Tableau2689[[#This Row],[Clé retenue]]*$G$12,"-")</f>
        <v>-</v>
      </c>
    </row>
    <row r="28" spans="2:7" ht="15">
      <c r="B28" s="93" t="s">
        <v>241</v>
      </c>
      <c r="C28" s="87" cm="1">
        <f t="array" ref="C28">SUM(IF(ISERROR(C15:C27),0,C15:C27))</f>
        <v>0</v>
      </c>
      <c r="D28" s="94"/>
      <c r="E28" s="95">
        <v>1</v>
      </c>
      <c r="F28" s="35"/>
      <c r="G28" s="75">
        <f>IFERROR(Tableau2689[[#This Row],[Clé retenue]]*$G$12,"-")</f>
        <v>0</v>
      </c>
    </row>
  </sheetData>
  <sheetProtection algorithmName="SHA-512" hashValue="vJbO9/gu9DhCmhQKM9eO4v7NoEPtrDgGpYZBLKqiI49gZ/l9O8Dvs8N2rZGBaeZS+6wOA1qtzR+tXyRoeP5WhA==" saltValue="rGEpD30ERJG7f9Rg02kMug==" spinCount="100000" sheet="1" objects="1" scenarios="1"/>
  <dataValidations count="1">
    <dataValidation type="list" allowBlank="1" showInputMessage="1" showErrorMessage="1" sqref="B15:B27" xr:uid="{9E2CDEF3-E517-401E-9648-0AF422D9F644}">
      <formula1>$B$5:$B$9</formula1>
    </dataValidation>
  </dataValidations>
  <pageMargins left="0.7" right="0.7" top="0.75" bottom="0.75" header="0.3" footer="0.3"/>
  <ignoredErrors>
    <ignoredError sqref="E15:E27" calculatedColumn="1"/>
  </ignoredErrors>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80B45-8043-4A6F-B0B9-A2BB7298F5C8}">
  <dimension ref="B1:G51"/>
  <sheetViews>
    <sheetView showGridLines="0" zoomScale="59" zoomScaleNormal="70" workbookViewId="0">
      <selection activeCell="I16" sqref="I16"/>
    </sheetView>
  </sheetViews>
  <sheetFormatPr baseColWidth="10" defaultColWidth="10.85546875" defaultRowHeight="12.75"/>
  <cols>
    <col min="1" max="1" width="3.5703125" style="136" customWidth="1"/>
    <col min="2" max="2" width="59.42578125" style="151" customWidth="1"/>
    <col min="3" max="3" width="39.85546875" style="136" bestFit="1" customWidth="1"/>
    <col min="4" max="4" width="12.5703125" style="136" customWidth="1"/>
    <col min="5" max="5" width="10.5703125" style="136" bestFit="1" customWidth="1"/>
    <col min="6" max="6" width="16.7109375" style="136" customWidth="1"/>
    <col min="7" max="7" width="16.28515625" style="137" bestFit="1" customWidth="1"/>
    <col min="8" max="16384" width="10.85546875" style="136"/>
  </cols>
  <sheetData>
    <row r="1" spans="2:7" s="133" customFormat="1" ht="15">
      <c r="B1" s="131" t="s">
        <v>195</v>
      </c>
      <c r="C1" s="132"/>
      <c r="D1" s="132"/>
      <c r="G1" s="134"/>
    </row>
    <row r="2" spans="2:7" s="133" customFormat="1" ht="15">
      <c r="B2" s="131" t="s">
        <v>183</v>
      </c>
      <c r="C2" s="132"/>
      <c r="D2" s="132"/>
      <c r="G2" s="134"/>
    </row>
    <row r="3" spans="2:7" hidden="1">
      <c r="B3" s="135"/>
      <c r="F3" s="67" t="s">
        <v>91</v>
      </c>
      <c r="G3" s="68"/>
    </row>
    <row r="4" spans="2:7" ht="25.5" hidden="1">
      <c r="B4" s="124" t="s">
        <v>217</v>
      </c>
      <c r="C4" s="125"/>
      <c r="D4" s="118" t="s">
        <v>174</v>
      </c>
    </row>
    <row r="5" spans="2:7" ht="15" hidden="1">
      <c r="B5" s="138" t="s">
        <v>197</v>
      </c>
      <c r="C5" s="139" t="s">
        <v>229</v>
      </c>
      <c r="D5" s="140">
        <v>0.66400000000000003</v>
      </c>
      <c r="G5" s="137">
        <f t="shared" ref="G5:G9" si="0">D5*$G$3</f>
        <v>0</v>
      </c>
    </row>
    <row r="6" spans="2:7" ht="15" hidden="1">
      <c r="B6" s="76" t="s">
        <v>218</v>
      </c>
      <c r="C6" s="139" t="s">
        <v>230</v>
      </c>
      <c r="D6" s="141">
        <v>0.04</v>
      </c>
      <c r="G6" s="137">
        <f t="shared" si="0"/>
        <v>0</v>
      </c>
    </row>
    <row r="7" spans="2:7" ht="15" hidden="1">
      <c r="B7" s="142" t="s">
        <v>219</v>
      </c>
      <c r="C7" s="139" t="s">
        <v>231</v>
      </c>
      <c r="D7" s="140">
        <v>2.1000000000000001E-2</v>
      </c>
      <c r="G7" s="137">
        <f t="shared" si="0"/>
        <v>0</v>
      </c>
    </row>
    <row r="8" spans="2:7" ht="15" hidden="1">
      <c r="B8" s="143" t="s">
        <v>220</v>
      </c>
      <c r="C8" s="139" t="s">
        <v>229</v>
      </c>
      <c r="D8" s="140">
        <v>9.0999999999999998E-2</v>
      </c>
      <c r="G8" s="137">
        <f t="shared" si="0"/>
        <v>0</v>
      </c>
    </row>
    <row r="9" spans="2:7" ht="15" hidden="1">
      <c r="B9" s="143" t="s">
        <v>196</v>
      </c>
      <c r="C9" s="139" t="s">
        <v>229</v>
      </c>
      <c r="D9" s="140">
        <v>0.184</v>
      </c>
      <c r="G9" s="137">
        <f t="shared" si="0"/>
        <v>0</v>
      </c>
    </row>
    <row r="10" spans="2:7" hidden="1">
      <c r="B10" s="124" t="s">
        <v>43</v>
      </c>
      <c r="C10" s="125"/>
      <c r="D10" s="144">
        <f>SUM(D5:D9)</f>
        <v>1</v>
      </c>
      <c r="G10" s="145">
        <f>D10*$G$3</f>
        <v>0</v>
      </c>
    </row>
    <row r="13" spans="2:7">
      <c r="B13" s="135"/>
      <c r="F13" s="67" t="s">
        <v>91</v>
      </c>
      <c r="G13" s="99"/>
    </row>
    <row r="14" spans="2:7" ht="25.5">
      <c r="B14" s="124" t="s">
        <v>198</v>
      </c>
      <c r="C14" s="125"/>
      <c r="D14" s="118" t="s">
        <v>174</v>
      </c>
    </row>
    <row r="15" spans="2:7" ht="15">
      <c r="B15" s="146" t="s">
        <v>200</v>
      </c>
      <c r="C15" s="139" t="s">
        <v>224</v>
      </c>
      <c r="D15" s="147">
        <v>1.4E-3</v>
      </c>
      <c r="F15" s="148"/>
      <c r="G15" s="137">
        <f>D15*$G$13</f>
        <v>0</v>
      </c>
    </row>
    <row r="16" spans="2:7" ht="12" customHeight="1">
      <c r="B16" s="149" t="s">
        <v>201</v>
      </c>
      <c r="C16" s="139" t="s">
        <v>223</v>
      </c>
      <c r="D16" s="147">
        <v>6.9999999999999999E-4</v>
      </c>
      <c r="F16" s="148"/>
      <c r="G16" s="137">
        <f t="shared" ref="G16:G32" si="1">D16*$G$13</f>
        <v>0</v>
      </c>
    </row>
    <row r="17" spans="2:7" ht="12" customHeight="1">
      <c r="B17" s="150" t="s">
        <v>202</v>
      </c>
      <c r="C17" s="139" t="s">
        <v>225</v>
      </c>
      <c r="D17" s="147">
        <v>4.0000000000000001E-3</v>
      </c>
      <c r="F17" s="148"/>
      <c r="G17" s="137">
        <f t="shared" si="1"/>
        <v>0</v>
      </c>
    </row>
    <row r="18" spans="2:7" ht="15">
      <c r="B18" s="151" t="s">
        <v>203</v>
      </c>
      <c r="C18" s="139" t="s">
        <v>221</v>
      </c>
      <c r="D18" s="147">
        <v>9.1999999999999998E-3</v>
      </c>
      <c r="F18" s="148"/>
      <c r="G18" s="137">
        <f t="shared" si="1"/>
        <v>0</v>
      </c>
    </row>
    <row r="19" spans="2:7" ht="25.5">
      <c r="B19" s="151" t="s">
        <v>204</v>
      </c>
      <c r="C19" s="139" t="s">
        <v>225</v>
      </c>
      <c r="D19" s="147">
        <v>7.3800000000000004E-2</v>
      </c>
      <c r="F19" s="148"/>
      <c r="G19" s="137">
        <f t="shared" si="1"/>
        <v>0</v>
      </c>
    </row>
    <row r="20" spans="2:7" ht="15">
      <c r="B20" s="136" t="s">
        <v>205</v>
      </c>
      <c r="C20" s="139" t="s">
        <v>225</v>
      </c>
      <c r="D20" s="147">
        <v>3.0999999999999999E-3</v>
      </c>
      <c r="F20" s="148"/>
      <c r="G20" s="137">
        <f t="shared" si="1"/>
        <v>0</v>
      </c>
    </row>
    <row r="21" spans="2:7" ht="15">
      <c r="B21" s="151" t="s">
        <v>206</v>
      </c>
      <c r="C21" s="139" t="s">
        <v>225</v>
      </c>
      <c r="D21" s="147">
        <v>3.8699999999999998E-2</v>
      </c>
      <c r="F21" s="148"/>
      <c r="G21" s="137">
        <f t="shared" si="1"/>
        <v>0</v>
      </c>
    </row>
    <row r="22" spans="2:7" ht="15">
      <c r="B22" s="151" t="s">
        <v>207</v>
      </c>
      <c r="C22" s="139" t="s">
        <v>207</v>
      </c>
      <c r="D22" s="147">
        <v>0.12859999999999999</v>
      </c>
      <c r="F22" s="148"/>
      <c r="G22" s="137">
        <f t="shared" si="1"/>
        <v>0</v>
      </c>
    </row>
    <row r="23" spans="2:7" ht="15">
      <c r="B23" s="151" t="s">
        <v>208</v>
      </c>
      <c r="C23" s="139" t="s">
        <v>227</v>
      </c>
      <c r="D23" s="147">
        <v>7.2900000000000006E-2</v>
      </c>
      <c r="F23" s="148"/>
      <c r="G23" s="137">
        <f t="shared" si="1"/>
        <v>0</v>
      </c>
    </row>
    <row r="24" spans="2:7" ht="15">
      <c r="B24" s="136" t="s">
        <v>209</v>
      </c>
      <c r="C24" s="139" t="s">
        <v>225</v>
      </c>
      <c r="D24" s="147">
        <v>3.3000000000000002E-2</v>
      </c>
      <c r="F24" s="148"/>
      <c r="G24" s="137">
        <f t="shared" si="1"/>
        <v>0</v>
      </c>
    </row>
    <row r="25" spans="2:7" ht="15">
      <c r="B25" s="151" t="s">
        <v>210</v>
      </c>
      <c r="C25" s="139" t="s">
        <v>227</v>
      </c>
      <c r="D25" s="147">
        <v>1.9800000000000002E-2</v>
      </c>
      <c r="F25" s="148"/>
      <c r="G25" s="137">
        <f t="shared" si="1"/>
        <v>0</v>
      </c>
    </row>
    <row r="26" spans="2:7" ht="15">
      <c r="B26" s="151" t="s">
        <v>211</v>
      </c>
      <c r="C26" s="139" t="s">
        <v>228</v>
      </c>
      <c r="D26" s="147">
        <v>2.63E-2</v>
      </c>
      <c r="F26" s="148"/>
      <c r="G26" s="137">
        <f t="shared" si="1"/>
        <v>0</v>
      </c>
    </row>
    <row r="27" spans="2:7" ht="12.6" customHeight="1">
      <c r="B27" s="151" t="s">
        <v>212</v>
      </c>
      <c r="C27" s="139" t="s">
        <v>227</v>
      </c>
      <c r="D27" s="147">
        <v>0.44600000000000001</v>
      </c>
      <c r="F27" s="148"/>
      <c r="G27" s="137">
        <f t="shared" si="1"/>
        <v>0</v>
      </c>
    </row>
    <row r="28" spans="2:7" ht="15">
      <c r="B28" s="151" t="s">
        <v>213</v>
      </c>
      <c r="C28" s="139" t="s">
        <v>225</v>
      </c>
      <c r="D28" s="147">
        <v>1.0699999999999999E-2</v>
      </c>
      <c r="F28" s="148"/>
      <c r="G28" s="137">
        <f t="shared" si="1"/>
        <v>0</v>
      </c>
    </row>
    <row r="29" spans="2:7" ht="15">
      <c r="B29" s="151" t="s">
        <v>214</v>
      </c>
      <c r="C29" s="139" t="s">
        <v>226</v>
      </c>
      <c r="D29" s="147">
        <v>1.6000000000000001E-3</v>
      </c>
      <c r="F29" s="148"/>
      <c r="G29" s="137">
        <f t="shared" si="1"/>
        <v>0</v>
      </c>
    </row>
    <row r="30" spans="2:7" ht="15">
      <c r="B30" s="151" t="s">
        <v>215</v>
      </c>
      <c r="C30" s="139" t="s">
        <v>226</v>
      </c>
      <c r="D30" s="147">
        <v>0.1231</v>
      </c>
      <c r="F30" s="148"/>
      <c r="G30" s="137">
        <f t="shared" si="1"/>
        <v>0</v>
      </c>
    </row>
    <row r="31" spans="2:7" ht="15">
      <c r="B31" s="151" t="s">
        <v>216</v>
      </c>
      <c r="C31" s="139" t="s">
        <v>222</v>
      </c>
      <c r="D31" s="147">
        <v>7.1000000000000004E-3</v>
      </c>
      <c r="F31" s="148"/>
      <c r="G31" s="137">
        <f t="shared" si="1"/>
        <v>0</v>
      </c>
    </row>
    <row r="32" spans="2:7">
      <c r="B32" s="124" t="s">
        <v>43</v>
      </c>
      <c r="C32" s="125"/>
      <c r="D32" s="144">
        <f>SUM(D15:D31)</f>
        <v>1.0000000000000002</v>
      </c>
      <c r="G32" s="145">
        <f t="shared" si="1"/>
        <v>0</v>
      </c>
    </row>
    <row r="33" spans="2:7">
      <c r="B33" s="151" t="s">
        <v>199</v>
      </c>
      <c r="D33" s="152"/>
    </row>
    <row r="34" spans="2:7">
      <c r="D34" s="152"/>
    </row>
    <row r="35" spans="2:7">
      <c r="B35" s="80" t="s">
        <v>242</v>
      </c>
      <c r="C35" s="81"/>
      <c r="D35" s="81"/>
      <c r="E35" s="81"/>
      <c r="F35" s="67" t="s">
        <v>91</v>
      </c>
      <c r="G35" s="99"/>
    </row>
    <row r="36" spans="2:7" ht="15">
      <c r="B36" s="82"/>
      <c r="C36" s="83"/>
      <c r="D36" s="84"/>
      <c r="E36" s="85"/>
      <c r="F36" s="35"/>
      <c r="G36" s="35"/>
    </row>
    <row r="37" spans="2:7" ht="15">
      <c r="B37" s="86" t="s">
        <v>245</v>
      </c>
      <c r="C37" s="87" t="s">
        <v>87</v>
      </c>
      <c r="D37" s="88" t="s">
        <v>236</v>
      </c>
      <c r="E37" s="89" t="s">
        <v>235</v>
      </c>
      <c r="F37" s="35"/>
      <c r="G37" s="35"/>
    </row>
    <row r="38" spans="2:7" ht="15">
      <c r="B38" s="101"/>
      <c r="C38" s="91" t="str">
        <f>IFERROR(VLOOKUP(Tableau268910[[#This Row],[Maladies]],$B$15:$D$31,3,0),"-")</f>
        <v>-</v>
      </c>
      <c r="D38" s="88"/>
      <c r="E38" s="88" t="str">
        <f>IFERROR(Tableau268910[[#This Row],[% pop.]]*$E$51/$C$51,"-")</f>
        <v>-</v>
      </c>
      <c r="F38" s="35"/>
      <c r="G38" s="75" t="str">
        <f>IFERROR(Tableau268910[[#This Row],[Clé retenue]]*$G$35,"-")</f>
        <v>-</v>
      </c>
    </row>
    <row r="39" spans="2:7" ht="15">
      <c r="B39" s="101"/>
      <c r="C39" s="91" t="str">
        <f>IFERROR(VLOOKUP(Tableau268910[[#This Row],[Maladies]],$B$15:$D$31,3,0),"-")</f>
        <v>-</v>
      </c>
      <c r="D39" s="35"/>
      <c r="E39" s="88" t="str">
        <f>IFERROR(Tableau268910[[#This Row],[% pop.]]*$E$51/$C$51,"-")</f>
        <v>-</v>
      </c>
      <c r="F39" s="35"/>
      <c r="G39" s="75" t="str">
        <f>IFERROR(Tableau268910[[#This Row],[Clé retenue]]*$G$35,"-")</f>
        <v>-</v>
      </c>
    </row>
    <row r="40" spans="2:7" ht="15">
      <c r="B40" s="101"/>
      <c r="C40" s="91" t="str">
        <f>IFERROR(VLOOKUP(Tableau268910[[#This Row],[Maladies]],$B$15:$D$31,3,0),"-")</f>
        <v>-</v>
      </c>
      <c r="D40" s="35"/>
      <c r="E40" s="88" t="str">
        <f>IFERROR(Tableau268910[[#This Row],[% pop.]]*$E$51/$C$51,"-")</f>
        <v>-</v>
      </c>
      <c r="F40" s="35"/>
      <c r="G40" s="75" t="str">
        <f>IFERROR(Tableau268910[[#This Row],[Clé retenue]]*$G$35,"-")</f>
        <v>-</v>
      </c>
    </row>
    <row r="41" spans="2:7" ht="15">
      <c r="B41" s="101"/>
      <c r="C41" s="91" t="str">
        <f>IFERROR(VLOOKUP(Tableau268910[[#This Row],[Maladies]],$B$15:$D$31,3,0),"-")</f>
        <v>-</v>
      </c>
      <c r="D41" s="35"/>
      <c r="E41" s="88" t="str">
        <f>IFERROR(Tableau268910[[#This Row],[% pop.]]*$E$51/$C$51,"-")</f>
        <v>-</v>
      </c>
      <c r="F41" s="35"/>
      <c r="G41" s="75" t="str">
        <f>IFERROR(Tableau268910[[#This Row],[Clé retenue]]*$G$35,"-")</f>
        <v>-</v>
      </c>
    </row>
    <row r="42" spans="2:7" ht="15">
      <c r="B42" s="101"/>
      <c r="C42" s="91" t="str">
        <f>IFERROR(VLOOKUP(Tableau268910[[#This Row],[Maladies]],$B$15:$D$31,3,0),"-")</f>
        <v>-</v>
      </c>
      <c r="D42" s="35"/>
      <c r="E42" s="88" t="str">
        <f>IFERROR(Tableau268910[[#This Row],[% pop.]]*$E$51/$C$51,"-")</f>
        <v>-</v>
      </c>
      <c r="F42" s="35"/>
      <c r="G42" s="75" t="str">
        <f>IFERROR(Tableau268910[[#This Row],[Clé retenue]]*$G$35,"-")</f>
        <v>-</v>
      </c>
    </row>
    <row r="43" spans="2:7" ht="15">
      <c r="B43" s="101"/>
      <c r="C43" s="91" t="str">
        <f>IFERROR(VLOOKUP(Tableau268910[[#This Row],[Maladies]],$B$15:$D$31,3,0),"-")</f>
        <v>-</v>
      </c>
      <c r="D43" s="35"/>
      <c r="E43" s="88" t="str">
        <f>IFERROR(Tableau268910[[#This Row],[% pop.]]*$E$51/$C$51,"-")</f>
        <v>-</v>
      </c>
      <c r="F43" s="35"/>
      <c r="G43" s="75" t="str">
        <f>IFERROR(Tableau268910[[#This Row],[Clé retenue]]*$G$35,"-")</f>
        <v>-</v>
      </c>
    </row>
    <row r="44" spans="2:7" ht="15">
      <c r="B44" s="101"/>
      <c r="C44" s="91" t="str">
        <f>IFERROR(VLOOKUP(Tableau268910[[#This Row],[Maladies]],$B$15:$D$31,3,0),"-")</f>
        <v>-</v>
      </c>
      <c r="D44" s="35"/>
      <c r="E44" s="88" t="str">
        <f>IFERROR(Tableau268910[[#This Row],[% pop.]]*$E$51/$C$51,"-")</f>
        <v>-</v>
      </c>
      <c r="F44" s="35"/>
      <c r="G44" s="75" t="str">
        <f>IFERROR(Tableau268910[[#This Row],[Clé retenue]]*$G$35,"-")</f>
        <v>-</v>
      </c>
    </row>
    <row r="45" spans="2:7" ht="15">
      <c r="B45" s="101"/>
      <c r="C45" s="91" t="str">
        <f>IFERROR(VLOOKUP(Tableau268910[[#This Row],[Maladies]],$B$15:$D$31,3,0),"-")</f>
        <v>-</v>
      </c>
      <c r="D45" s="35"/>
      <c r="E45" s="88" t="str">
        <f>IFERROR(Tableau268910[[#This Row],[% pop.]]*$E$51/$C$51,"-")</f>
        <v>-</v>
      </c>
      <c r="F45" s="35"/>
      <c r="G45" s="75" t="str">
        <f>IFERROR(Tableau268910[[#This Row],[Clé retenue]]*$G$35,"-")</f>
        <v>-</v>
      </c>
    </row>
    <row r="46" spans="2:7" ht="15">
      <c r="B46" s="101"/>
      <c r="C46" s="91" t="str">
        <f>IFERROR(VLOOKUP(Tableau268910[[#This Row],[Maladies]],$B$15:$D$31,3,0),"-")</f>
        <v>-</v>
      </c>
      <c r="D46" s="35"/>
      <c r="E46" s="88" t="str">
        <f>IFERROR(Tableau268910[[#This Row],[% pop.]]*$E$51/$C$51,"-")</f>
        <v>-</v>
      </c>
      <c r="F46" s="35"/>
      <c r="G46" s="75" t="str">
        <f>IFERROR(Tableau268910[[#This Row],[Clé retenue]]*$G$35,"-")</f>
        <v>-</v>
      </c>
    </row>
    <row r="47" spans="2:7" ht="15">
      <c r="B47" s="101"/>
      <c r="C47" s="91" t="str">
        <f>IFERROR(VLOOKUP(Tableau268910[[#This Row],[Maladies]],$B$15:$D$31,3,0),"-")</f>
        <v>-</v>
      </c>
      <c r="D47" s="35"/>
      <c r="E47" s="88" t="str">
        <f>IFERROR(Tableau268910[[#This Row],[% pop.]]*$E$51/$C$51,"-")</f>
        <v>-</v>
      </c>
      <c r="F47" s="35"/>
      <c r="G47" s="75" t="str">
        <f>IFERROR(Tableau268910[[#This Row],[Clé retenue]]*$G$35,"-")</f>
        <v>-</v>
      </c>
    </row>
    <row r="48" spans="2:7" ht="15">
      <c r="B48" s="101"/>
      <c r="C48" s="91" t="str">
        <f>IFERROR(VLOOKUP(Tableau268910[[#This Row],[Maladies]],$B$15:$D$31,3,0),"-")</f>
        <v>-</v>
      </c>
      <c r="D48" s="35"/>
      <c r="E48" s="88" t="str">
        <f>IFERROR(Tableau268910[[#This Row],[% pop.]]*$E$51/$C$51,"-")</f>
        <v>-</v>
      </c>
      <c r="F48" s="35"/>
      <c r="G48" s="75" t="str">
        <f>IFERROR(Tableau268910[[#This Row],[Clé retenue]]*$G$35,"-")</f>
        <v>-</v>
      </c>
    </row>
    <row r="49" spans="2:7" ht="15">
      <c r="B49" s="101"/>
      <c r="C49" s="91" t="str">
        <f>IFERROR(VLOOKUP(Tableau268910[[#This Row],[Maladies]],$B$15:$D$31,3,0),"-")</f>
        <v>-</v>
      </c>
      <c r="D49" s="35"/>
      <c r="E49" s="88" t="str">
        <f>IFERROR(Tableau268910[[#This Row],[% pop.]]*$E$51/$C$51,"-")</f>
        <v>-</v>
      </c>
      <c r="F49" s="35"/>
      <c r="G49" s="75" t="str">
        <f>IFERROR(Tableau268910[[#This Row],[Clé retenue]]*$G$35,"-")</f>
        <v>-</v>
      </c>
    </row>
    <row r="50" spans="2:7" ht="15">
      <c r="B50" s="101"/>
      <c r="C50" s="91" t="str">
        <f>IFERROR(VLOOKUP(Tableau268910[[#This Row],[Maladies]],$B$15:$D$31,3,0),"-")</f>
        <v>-</v>
      </c>
      <c r="D50" s="35"/>
      <c r="E50" s="88" t="str">
        <f>IFERROR(Tableau268910[[#This Row],[% pop.]]*$E$51/$C$51,"-")</f>
        <v>-</v>
      </c>
      <c r="F50" s="35"/>
      <c r="G50" s="75" t="str">
        <f>IFERROR(Tableau268910[[#This Row],[Clé retenue]]*$G$35,"-")</f>
        <v>-</v>
      </c>
    </row>
    <row r="51" spans="2:7" ht="15">
      <c r="B51" s="93" t="s">
        <v>243</v>
      </c>
      <c r="C51" s="87" cm="1">
        <f t="array" ref="C51">SUM(IF(ISERROR(C38:C50),0,C38:C50))</f>
        <v>0</v>
      </c>
      <c r="D51" s="94"/>
      <c r="E51" s="95">
        <v>1</v>
      </c>
      <c r="F51" s="35"/>
      <c r="G51" s="75">
        <f>IFERROR(Tableau268910[[#This Row],[Clé retenue]]*$G$12,"-")</f>
        <v>0</v>
      </c>
    </row>
  </sheetData>
  <sheetProtection algorithmName="SHA-512" hashValue="w4n27G2fWH7GOUs6TB058IWZdl3UazTxbUS+bgnM9C68L/uwa4sG189KrxUfvZuVPJr8QQB+e7vDlwEBM8pRfg==" saltValue="PPAsV8h2JlbK8VzPi0DItA==" spinCount="100000" sheet="1" objects="1" scenarios="1"/>
  <dataValidations count="1">
    <dataValidation type="list" allowBlank="1" showInputMessage="1" showErrorMessage="1" sqref="B38:B50" xr:uid="{8E6DAE4D-60B8-40C9-BDBB-6FE794951DAC}">
      <formula1>$B$15:$B$31</formula1>
    </dataValidation>
  </dataValidations>
  <pageMargins left="0.7" right="0.7" top="0.75" bottom="0.75" header="0.3" footer="0.3"/>
  <pageSetup paperSize="9" orientation="portrait" r:id="rId1"/>
  <ignoredErrors>
    <ignoredError sqref="D39:E50 D38:E38"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EE47-9EB4-474A-9D8E-B56699D378CF}">
  <dimension ref="B2:D109"/>
  <sheetViews>
    <sheetView zoomScale="68" workbookViewId="0">
      <selection activeCell="E12" sqref="E12"/>
    </sheetView>
  </sheetViews>
  <sheetFormatPr baseColWidth="10" defaultRowHeight="15"/>
  <cols>
    <col min="3" max="3" width="20.7109375" bestFit="1" customWidth="1"/>
  </cols>
  <sheetData>
    <row r="2" spans="2:4">
      <c r="B2" t="s">
        <v>283</v>
      </c>
    </row>
    <row r="3" spans="2:4">
      <c r="B3" t="s">
        <v>284</v>
      </c>
    </row>
    <row r="6" spans="2:4" ht="27" thickBot="1">
      <c r="B6" s="60" t="s">
        <v>285</v>
      </c>
      <c r="C6" s="61"/>
      <c r="D6" s="48" t="s">
        <v>307</v>
      </c>
    </row>
    <row r="7" spans="2:4">
      <c r="B7" s="49" t="s">
        <v>44</v>
      </c>
      <c r="C7" s="49"/>
      <c r="D7" s="50">
        <f>SUM(D8:D14)</f>
        <v>4315</v>
      </c>
    </row>
    <row r="8" spans="2:4">
      <c r="B8" s="51"/>
      <c r="C8" s="59" t="s">
        <v>286</v>
      </c>
      <c r="D8" s="52">
        <v>849</v>
      </c>
    </row>
    <row r="9" spans="2:4">
      <c r="B9" s="51"/>
      <c r="C9" s="51" t="s">
        <v>45</v>
      </c>
      <c r="D9" s="52">
        <v>597</v>
      </c>
    </row>
    <row r="10" spans="2:4">
      <c r="B10" s="51"/>
      <c r="C10" s="51" t="s">
        <v>46</v>
      </c>
      <c r="D10" s="52">
        <v>573</v>
      </c>
    </row>
    <row r="11" spans="2:4">
      <c r="B11" s="51"/>
      <c r="C11" s="51" t="s">
        <v>47</v>
      </c>
      <c r="D11" s="52">
        <v>879</v>
      </c>
    </row>
    <row r="12" spans="2:4">
      <c r="B12" s="51"/>
      <c r="C12" s="51" t="s">
        <v>48</v>
      </c>
      <c r="D12" s="52">
        <v>354</v>
      </c>
    </row>
    <row r="13" spans="2:4">
      <c r="B13" s="51"/>
      <c r="C13" s="51" t="s">
        <v>49</v>
      </c>
      <c r="D13" s="52">
        <v>736</v>
      </c>
    </row>
    <row r="14" spans="2:4">
      <c r="B14" s="51"/>
      <c r="C14" s="51" t="s">
        <v>50</v>
      </c>
      <c r="D14" s="52">
        <v>327</v>
      </c>
    </row>
    <row r="15" spans="2:4">
      <c r="B15" s="49" t="s">
        <v>51</v>
      </c>
      <c r="C15" s="49"/>
      <c r="D15" s="53">
        <f>SUM(D16:D19)</f>
        <v>2086</v>
      </c>
    </row>
    <row r="16" spans="2:4">
      <c r="B16" s="51"/>
      <c r="C16" s="59" t="s">
        <v>287</v>
      </c>
      <c r="D16" s="52">
        <v>776</v>
      </c>
    </row>
    <row r="17" spans="2:4">
      <c r="B17" s="51"/>
      <c r="C17" s="51" t="s">
        <v>52</v>
      </c>
      <c r="D17" s="52">
        <v>729</v>
      </c>
    </row>
    <row r="18" spans="2:4">
      <c r="B18" s="51"/>
      <c r="C18" s="51" t="s">
        <v>53</v>
      </c>
      <c r="D18" s="52">
        <v>303</v>
      </c>
    </row>
    <row r="19" spans="2:4">
      <c r="B19" s="51"/>
      <c r="C19" s="51" t="s">
        <v>54</v>
      </c>
      <c r="D19" s="52">
        <v>278</v>
      </c>
    </row>
    <row r="20" spans="2:4">
      <c r="B20" s="49" t="s">
        <v>55</v>
      </c>
      <c r="C20" s="49"/>
      <c r="D20" s="53">
        <f>SUM(D21:D31)</f>
        <v>25250</v>
      </c>
    </row>
    <row r="21" spans="2:4">
      <c r="B21" s="51"/>
      <c r="C21" s="59" t="s">
        <v>288</v>
      </c>
      <c r="D21" s="52">
        <v>2431</v>
      </c>
    </row>
    <row r="22" spans="2:4">
      <c r="B22" s="51"/>
      <c r="C22" s="59" t="s">
        <v>289</v>
      </c>
      <c r="D22" s="52">
        <v>695</v>
      </c>
    </row>
    <row r="23" spans="2:4">
      <c r="B23" s="51"/>
      <c r="C23" s="59" t="s">
        <v>290</v>
      </c>
      <c r="D23" s="52">
        <v>37</v>
      </c>
    </row>
    <row r="24" spans="2:4">
      <c r="B24" s="51"/>
      <c r="C24" s="59" t="s">
        <v>291</v>
      </c>
      <c r="D24" s="52">
        <v>4718</v>
      </c>
    </row>
    <row r="25" spans="2:4">
      <c r="B25" s="54"/>
      <c r="C25" s="59" t="s">
        <v>292</v>
      </c>
      <c r="D25" s="52" t="s">
        <v>293</v>
      </c>
    </row>
    <row r="26" spans="2:4">
      <c r="B26" s="51"/>
      <c r="C26" s="59" t="s">
        <v>294</v>
      </c>
      <c r="D26" s="52">
        <v>1271</v>
      </c>
    </row>
    <row r="27" spans="2:4">
      <c r="B27" s="51"/>
      <c r="C27" s="51" t="s">
        <v>56</v>
      </c>
      <c r="D27" s="52">
        <v>2174</v>
      </c>
    </row>
    <row r="28" spans="2:4">
      <c r="B28" s="51"/>
      <c r="C28" s="51" t="s">
        <v>57</v>
      </c>
      <c r="D28" s="52">
        <v>2395</v>
      </c>
    </row>
    <row r="29" spans="2:4">
      <c r="B29" s="51"/>
      <c r="C29" s="51" t="s">
        <v>58</v>
      </c>
      <c r="D29" s="52">
        <v>6372</v>
      </c>
    </row>
    <row r="30" spans="2:4">
      <c r="B30" s="51"/>
      <c r="C30" s="51" t="s">
        <v>59</v>
      </c>
      <c r="D30" s="52">
        <v>2960</v>
      </c>
    </row>
    <row r="31" spans="2:4">
      <c r="B31" s="51"/>
      <c r="C31" s="51" t="s">
        <v>60</v>
      </c>
      <c r="D31" s="52">
        <v>2197</v>
      </c>
    </row>
    <row r="32" spans="2:4">
      <c r="B32" s="49" t="s">
        <v>61</v>
      </c>
      <c r="C32" s="49"/>
      <c r="D32" s="53">
        <f>SUM(D33:D40)</f>
        <v>3630</v>
      </c>
    </row>
    <row r="33" spans="2:4">
      <c r="B33" s="51"/>
      <c r="C33" s="59" t="s">
        <v>295</v>
      </c>
      <c r="D33" s="52">
        <v>727</v>
      </c>
    </row>
    <row r="34" spans="2:4">
      <c r="B34" s="51"/>
      <c r="C34" s="51" t="s">
        <v>62</v>
      </c>
      <c r="D34" s="52">
        <v>248</v>
      </c>
    </row>
    <row r="35" spans="2:4">
      <c r="B35" s="51"/>
      <c r="C35" s="51" t="s">
        <v>63</v>
      </c>
      <c r="D35" s="52">
        <v>410</v>
      </c>
    </row>
    <row r="36" spans="2:4">
      <c r="B36" s="51"/>
      <c r="C36" s="51" t="s">
        <v>64</v>
      </c>
      <c r="D36" s="52">
        <v>802</v>
      </c>
    </row>
    <row r="37" spans="2:4">
      <c r="B37" s="51"/>
      <c r="C37" s="51" t="s">
        <v>65</v>
      </c>
      <c r="D37" s="52">
        <v>240</v>
      </c>
    </row>
    <row r="38" spans="2:4">
      <c r="B38" s="51"/>
      <c r="C38" s="51" t="s">
        <v>66</v>
      </c>
      <c r="D38" s="52">
        <v>554</v>
      </c>
    </row>
    <row r="39" spans="2:4">
      <c r="B39" s="51"/>
      <c r="C39" s="51" t="s">
        <v>67</v>
      </c>
      <c r="D39" s="52">
        <v>260</v>
      </c>
    </row>
    <row r="40" spans="2:4">
      <c r="B40" s="51"/>
      <c r="C40" s="51" t="s">
        <v>68</v>
      </c>
      <c r="D40" s="52">
        <v>389</v>
      </c>
    </row>
    <row r="41" spans="2:4">
      <c r="B41" s="49" t="s">
        <v>69</v>
      </c>
      <c r="C41" s="49"/>
      <c r="D41" s="53">
        <f>SUM(D42:D48)</f>
        <v>3005</v>
      </c>
    </row>
    <row r="42" spans="2:4">
      <c r="B42" s="51"/>
      <c r="C42" s="59" t="s">
        <v>296</v>
      </c>
      <c r="D42" s="52">
        <v>473</v>
      </c>
    </row>
    <row r="43" spans="2:4">
      <c r="B43" s="51"/>
      <c r="C43" s="51" t="s">
        <v>70</v>
      </c>
      <c r="D43" s="52">
        <v>37</v>
      </c>
    </row>
    <row r="44" spans="2:4">
      <c r="B44" s="51"/>
      <c r="C44" s="51" t="s">
        <v>71</v>
      </c>
      <c r="D44" s="52">
        <v>334</v>
      </c>
    </row>
    <row r="45" spans="2:4">
      <c r="B45" s="51"/>
      <c r="C45" s="51" t="s">
        <v>72</v>
      </c>
      <c r="D45" s="52">
        <v>347</v>
      </c>
    </row>
    <row r="46" spans="2:4">
      <c r="B46" s="51"/>
      <c r="C46" s="51" t="s">
        <v>73</v>
      </c>
      <c r="D46" s="52">
        <v>781</v>
      </c>
    </row>
    <row r="47" spans="2:4">
      <c r="B47" s="51"/>
      <c r="C47" s="51" t="s">
        <v>74</v>
      </c>
      <c r="D47" s="52">
        <v>797</v>
      </c>
    </row>
    <row r="48" spans="2:4">
      <c r="B48" s="51"/>
      <c r="C48" s="51" t="s">
        <v>75</v>
      </c>
      <c r="D48" s="52">
        <v>236</v>
      </c>
    </row>
    <row r="49" spans="2:4">
      <c r="B49" s="49" t="s">
        <v>76</v>
      </c>
      <c r="C49" s="49"/>
      <c r="D49" s="53">
        <f>SUM(D50:D57)</f>
        <v>5420</v>
      </c>
    </row>
    <row r="50" spans="2:4">
      <c r="B50" s="51"/>
      <c r="C50" s="59" t="s">
        <v>297</v>
      </c>
      <c r="D50" s="52">
        <v>1405</v>
      </c>
    </row>
    <row r="51" spans="2:4">
      <c r="B51" s="51"/>
      <c r="C51" s="51" t="s">
        <v>77</v>
      </c>
      <c r="D51" s="52">
        <v>1321</v>
      </c>
    </row>
    <row r="52" spans="2:4">
      <c r="B52" s="51"/>
      <c r="C52" s="51" t="s">
        <v>78</v>
      </c>
      <c r="D52" s="52">
        <v>367</v>
      </c>
    </row>
    <row r="53" spans="2:4">
      <c r="B53" s="51"/>
      <c r="C53" s="51" t="s">
        <v>79</v>
      </c>
      <c r="D53" s="52">
        <v>381</v>
      </c>
    </row>
    <row r="54" spans="2:4">
      <c r="B54" s="49"/>
      <c r="C54" s="51" t="s">
        <v>80</v>
      </c>
      <c r="D54" s="52">
        <v>981</v>
      </c>
    </row>
    <row r="55" spans="2:4">
      <c r="B55" s="51"/>
      <c r="C55" s="51" t="s">
        <v>81</v>
      </c>
      <c r="D55" s="52">
        <v>412</v>
      </c>
    </row>
    <row r="56" spans="2:4">
      <c r="B56" s="51"/>
      <c r="C56" s="51" t="s">
        <v>82</v>
      </c>
      <c r="D56" s="52">
        <v>256</v>
      </c>
    </row>
    <row r="57" spans="2:4" ht="15.75" thickBot="1">
      <c r="B57" s="55"/>
      <c r="C57" s="55" t="s">
        <v>83</v>
      </c>
      <c r="D57" s="56">
        <v>297</v>
      </c>
    </row>
    <row r="58" spans="2:4">
      <c r="B58" s="49" t="s">
        <v>0</v>
      </c>
      <c r="C58" s="49"/>
      <c r="D58" s="53">
        <f>SUM(D59:D62)</f>
        <v>1974</v>
      </c>
    </row>
    <row r="59" spans="2:4">
      <c r="B59" s="51"/>
      <c r="C59" s="51" t="s">
        <v>1</v>
      </c>
      <c r="D59" s="52">
        <v>415</v>
      </c>
    </row>
    <row r="60" spans="2:4">
      <c r="B60" s="51"/>
      <c r="C60" s="51" t="s">
        <v>2</v>
      </c>
      <c r="D60" s="52">
        <v>657</v>
      </c>
    </row>
    <row r="61" spans="2:4">
      <c r="B61" s="51"/>
      <c r="C61" s="51" t="s">
        <v>3</v>
      </c>
      <c r="D61" s="52">
        <v>733</v>
      </c>
    </row>
    <row r="62" spans="2:4">
      <c r="B62" s="51"/>
      <c r="C62" s="51" t="s">
        <v>4</v>
      </c>
      <c r="D62" s="52">
        <v>169</v>
      </c>
    </row>
    <row r="63" spans="2:4">
      <c r="B63" s="49" t="s">
        <v>5</v>
      </c>
      <c r="C63" s="49"/>
      <c r="D63" s="53">
        <f>SUM(D64:D70)</f>
        <v>1156</v>
      </c>
    </row>
    <row r="64" spans="2:4">
      <c r="B64" s="51"/>
      <c r="C64" s="59" t="s">
        <v>298</v>
      </c>
      <c r="D64" s="52">
        <v>379</v>
      </c>
    </row>
    <row r="65" spans="2:4">
      <c r="B65" s="51"/>
      <c r="C65" s="51" t="s">
        <v>6</v>
      </c>
      <c r="D65" s="52">
        <v>221</v>
      </c>
    </row>
    <row r="66" spans="2:4">
      <c r="B66" s="51"/>
      <c r="C66" s="51" t="s">
        <v>7</v>
      </c>
      <c r="D66" s="52" t="s">
        <v>293</v>
      </c>
    </row>
    <row r="67" spans="2:4">
      <c r="B67" s="49"/>
      <c r="C67" s="51" t="s">
        <v>8</v>
      </c>
      <c r="D67" s="52">
        <v>269</v>
      </c>
    </row>
    <row r="68" spans="2:4">
      <c r="B68" s="51"/>
      <c r="C68" s="51" t="s">
        <v>9</v>
      </c>
      <c r="D68" s="52">
        <v>58</v>
      </c>
    </row>
    <row r="69" spans="2:4">
      <c r="B69" s="51"/>
      <c r="C69" s="51" t="s">
        <v>10</v>
      </c>
      <c r="D69" s="52">
        <v>130</v>
      </c>
    </row>
    <row r="70" spans="2:4">
      <c r="B70" s="51"/>
      <c r="C70" s="51" t="s">
        <v>11</v>
      </c>
      <c r="D70" s="52">
        <v>99</v>
      </c>
    </row>
    <row r="71" spans="2:4">
      <c r="B71" s="49" t="s">
        <v>12</v>
      </c>
      <c r="C71" s="49"/>
      <c r="D71" s="53">
        <f>SUM(D72:D80)</f>
        <v>12090</v>
      </c>
    </row>
    <row r="72" spans="2:4">
      <c r="B72" s="51"/>
      <c r="C72" s="59" t="s">
        <v>299</v>
      </c>
      <c r="D72" s="52">
        <v>4675</v>
      </c>
    </row>
    <row r="73" spans="2:4">
      <c r="B73" s="51"/>
      <c r="C73" s="51" t="s">
        <v>13</v>
      </c>
      <c r="D73" s="52">
        <v>1582</v>
      </c>
    </row>
    <row r="74" spans="2:4">
      <c r="B74" s="51"/>
      <c r="C74" s="51" t="s">
        <v>14</v>
      </c>
      <c r="D74" s="52">
        <v>226</v>
      </c>
    </row>
    <row r="75" spans="2:4">
      <c r="B75" s="51"/>
      <c r="C75" s="51" t="s">
        <v>15</v>
      </c>
      <c r="D75" s="52">
        <v>3968</v>
      </c>
    </row>
    <row r="76" spans="2:4">
      <c r="B76" s="49"/>
      <c r="C76" s="51" t="s">
        <v>16</v>
      </c>
      <c r="D76" s="52">
        <v>802</v>
      </c>
    </row>
    <row r="77" spans="2:4">
      <c r="B77" s="51"/>
      <c r="C77" s="51" t="s">
        <v>17</v>
      </c>
      <c r="D77" s="52">
        <v>100</v>
      </c>
    </row>
    <row r="78" spans="2:4">
      <c r="B78" s="51"/>
      <c r="C78" s="51" t="s">
        <v>18</v>
      </c>
      <c r="D78" s="52">
        <v>51</v>
      </c>
    </row>
    <row r="79" spans="2:4">
      <c r="B79" s="51"/>
      <c r="C79" s="51" t="s">
        <v>19</v>
      </c>
      <c r="D79" s="52">
        <v>106</v>
      </c>
    </row>
    <row r="80" spans="2:4">
      <c r="B80" s="51"/>
      <c r="C80" s="51" t="s">
        <v>20</v>
      </c>
      <c r="D80" s="52">
        <v>580</v>
      </c>
    </row>
    <row r="81" spans="2:4">
      <c r="B81" s="49" t="s">
        <v>21</v>
      </c>
      <c r="C81" s="49"/>
      <c r="D81" s="53">
        <f>SUM(D82:D88)</f>
        <v>4392</v>
      </c>
    </row>
    <row r="82" spans="2:4">
      <c r="B82" s="51"/>
      <c r="C82" s="59" t="s">
        <v>300</v>
      </c>
      <c r="D82" s="52">
        <v>657</v>
      </c>
    </row>
    <row r="83" spans="2:4">
      <c r="B83" s="51"/>
      <c r="C83" s="51" t="s">
        <v>22</v>
      </c>
      <c r="D83" s="52">
        <v>649</v>
      </c>
    </row>
    <row r="84" spans="2:4">
      <c r="B84" s="51"/>
      <c r="C84" s="51" t="s">
        <v>23</v>
      </c>
      <c r="D84" s="52">
        <v>1813</v>
      </c>
    </row>
    <row r="85" spans="2:4">
      <c r="B85" s="51"/>
      <c r="C85" s="51" t="s">
        <v>24</v>
      </c>
      <c r="D85" s="52">
        <v>470</v>
      </c>
    </row>
    <row r="86" spans="2:4">
      <c r="B86" s="51"/>
      <c r="C86" s="51" t="s">
        <v>25</v>
      </c>
      <c r="D86" s="52">
        <v>141</v>
      </c>
    </row>
    <row r="87" spans="2:4">
      <c r="B87" s="51"/>
      <c r="C87" s="51" t="s">
        <v>26</v>
      </c>
      <c r="D87" s="52" t="s">
        <v>293</v>
      </c>
    </row>
    <row r="88" spans="2:4">
      <c r="B88" s="51"/>
      <c r="C88" s="51" t="s">
        <v>27</v>
      </c>
      <c r="D88" s="52">
        <v>662</v>
      </c>
    </row>
    <row r="89" spans="2:4">
      <c r="B89" s="49" t="s">
        <v>28</v>
      </c>
      <c r="C89" s="49"/>
      <c r="D89" s="50">
        <f>SUM(D90:D93)</f>
        <v>2071</v>
      </c>
    </row>
    <row r="90" spans="2:4">
      <c r="B90" s="49"/>
      <c r="C90" s="59" t="s">
        <v>301</v>
      </c>
      <c r="D90" s="52">
        <v>17</v>
      </c>
    </row>
    <row r="91" spans="2:4">
      <c r="B91" s="51"/>
      <c r="C91" s="51" t="s">
        <v>29</v>
      </c>
      <c r="D91" s="52">
        <v>370</v>
      </c>
    </row>
    <row r="92" spans="2:4">
      <c r="B92" s="51"/>
      <c r="C92" s="51" t="s">
        <v>30</v>
      </c>
      <c r="D92" s="52">
        <v>695</v>
      </c>
    </row>
    <row r="93" spans="2:4">
      <c r="B93" s="51"/>
      <c r="C93" s="51" t="s">
        <v>31</v>
      </c>
      <c r="D93" s="52">
        <v>989</v>
      </c>
    </row>
    <row r="94" spans="2:4">
      <c r="B94" s="49" t="s">
        <v>32</v>
      </c>
      <c r="C94" s="49"/>
      <c r="D94" s="53">
        <f>SUM(D95:D99)</f>
        <v>478</v>
      </c>
    </row>
    <row r="95" spans="2:4">
      <c r="B95" s="51"/>
      <c r="C95" s="59" t="s">
        <v>302</v>
      </c>
      <c r="D95" s="52">
        <v>183</v>
      </c>
    </row>
    <row r="96" spans="2:4">
      <c r="B96" s="51"/>
      <c r="C96" s="51" t="s">
        <v>33</v>
      </c>
      <c r="D96" s="52">
        <v>78</v>
      </c>
    </row>
    <row r="97" spans="2:4">
      <c r="B97" s="51"/>
      <c r="C97" s="51" t="s">
        <v>34</v>
      </c>
      <c r="D97" s="52">
        <v>54</v>
      </c>
    </row>
    <row r="98" spans="2:4">
      <c r="B98" s="51"/>
      <c r="C98" s="51" t="s">
        <v>35</v>
      </c>
      <c r="D98" s="52">
        <v>135</v>
      </c>
    </row>
    <row r="99" spans="2:4">
      <c r="B99" s="51"/>
      <c r="C99" s="51" t="s">
        <v>36</v>
      </c>
      <c r="D99" s="52">
        <v>28</v>
      </c>
    </row>
    <row r="100" spans="2:4">
      <c r="B100" s="49" t="s">
        <v>37</v>
      </c>
      <c r="C100" s="49"/>
      <c r="D100" s="53">
        <f>SUM(D101:D106)</f>
        <v>3886</v>
      </c>
    </row>
    <row r="101" spans="2:4">
      <c r="B101" s="51"/>
      <c r="C101" s="59" t="s">
        <v>303</v>
      </c>
      <c r="D101" s="52">
        <v>686</v>
      </c>
    </row>
    <row r="102" spans="2:4">
      <c r="B102" s="51"/>
      <c r="C102" s="51" t="s">
        <v>38</v>
      </c>
      <c r="D102" s="52">
        <v>286</v>
      </c>
    </row>
    <row r="103" spans="2:4">
      <c r="B103" s="51"/>
      <c r="C103" s="51" t="s">
        <v>39</v>
      </c>
      <c r="D103" s="52">
        <v>1298</v>
      </c>
    </row>
    <row r="104" spans="2:4">
      <c r="B104" s="51"/>
      <c r="C104" s="51" t="s">
        <v>40</v>
      </c>
      <c r="D104" s="52">
        <v>640</v>
      </c>
    </row>
    <row r="105" spans="2:4">
      <c r="B105" s="51"/>
      <c r="C105" s="51" t="s">
        <v>41</v>
      </c>
      <c r="D105" s="52">
        <v>696</v>
      </c>
    </row>
    <row r="106" spans="2:4">
      <c r="B106" s="51"/>
      <c r="C106" s="51" t="s">
        <v>42</v>
      </c>
      <c r="D106" s="52">
        <v>280</v>
      </c>
    </row>
    <row r="107" spans="2:4">
      <c r="B107" s="49" t="s">
        <v>304</v>
      </c>
      <c r="C107" s="49"/>
      <c r="D107" s="50">
        <f t="shared" ref="D107" si="0">SUM(D102:D106,D96:D99,D91:D93,D83:D88,D73:D80,D65:D70,D59:D62,D51:D57,D43:D48,D34:D40,D27:D31,D17:D19,D9:D14)</f>
        <v>49774</v>
      </c>
    </row>
    <row r="108" spans="2:4">
      <c r="B108" s="49" t="s">
        <v>305</v>
      </c>
      <c r="C108" s="49"/>
      <c r="D108" s="50">
        <f t="shared" ref="D108" si="1">SUM(D101,D95,D82,D72,D64,D50,D42,D33,D24,D23,D22,D21,D16,D8,D26,D90,D25)</f>
        <v>19979</v>
      </c>
    </row>
    <row r="109" spans="2:4" ht="15.75" thickBot="1">
      <c r="B109" s="57" t="s">
        <v>306</v>
      </c>
      <c r="C109" s="57"/>
      <c r="D109" s="58">
        <f t="shared" ref="D109" si="2">SUM(D107:D108)</f>
        <v>69753</v>
      </c>
    </row>
  </sheetData>
  <autoFilter ref="C2:C109" xr:uid="{F950EE47-9EB4-474A-9D8E-B56699D378CF}"/>
  <mergeCells count="1">
    <mergeCell ref="B6:C6"/>
  </mergeCells>
  <conditionalFormatting sqref="D7:D14 D16:D19 D42:D48 D50:D57 D59:D62 D64:D70 D72:D80 D82:D93 D95:D99">
    <cfRule type="containsBlanks" dxfId="66" priority="6">
      <formula>LEN(TRIM(D7))=0</formula>
    </cfRule>
  </conditionalFormatting>
  <conditionalFormatting sqref="D8">
    <cfRule type="containsBlanks" dxfId="65" priority="18" stopIfTrue="1">
      <formula>LEN(TRIM(D8))=0</formula>
    </cfRule>
  </conditionalFormatting>
  <conditionalFormatting sqref="D16">
    <cfRule type="containsBlanks" dxfId="64" priority="17" stopIfTrue="1">
      <formula>LEN(TRIM(D16))=0</formula>
    </cfRule>
  </conditionalFormatting>
  <conditionalFormatting sqref="D21 D23:D24 D26:D31 D7 D9:D14 D17:D19 D42:D48 D59:D62 D64:D70 D95:D99">
    <cfRule type="cellIs" dxfId="63" priority="19" stopIfTrue="1" operator="greaterThan">
      <formula>-1</formula>
    </cfRule>
  </conditionalFormatting>
  <conditionalFormatting sqref="D21:D26">
    <cfRule type="containsBlanks" dxfId="62" priority="11" stopIfTrue="1">
      <formula>LEN(TRIM(D21))=0</formula>
    </cfRule>
    <cfRule type="containsBlanks" dxfId="61" priority="15" stopIfTrue="1">
      <formula>LEN(TRIM(D21))=0</formula>
    </cfRule>
  </conditionalFormatting>
  <conditionalFormatting sqref="D21:D31 D33:D40">
    <cfRule type="containsBlanks" dxfId="60" priority="7">
      <formula>LEN(TRIM(D21))=0</formula>
    </cfRule>
  </conditionalFormatting>
  <conditionalFormatting sqref="D21:D31">
    <cfRule type="containsBlanks" dxfId="59" priority="13">
      <formula>LEN(TRIM(D21))=0</formula>
    </cfRule>
    <cfRule type="containsBlanks" dxfId="58" priority="14">
      <formula>LEN(TRIM(D21))=0</formula>
    </cfRule>
  </conditionalFormatting>
  <conditionalFormatting sqref="D33:D40 D7:D14 D16:D19 D42:D48 D50:D57 D59:D62 D64:D70 D72:D80 D82:D93 D95:D99">
    <cfRule type="containsBlanks" dxfId="57" priority="8">
      <formula>LEN(TRIM(D7))=0</formula>
    </cfRule>
  </conditionalFormatting>
  <conditionalFormatting sqref="D33:D40">
    <cfRule type="cellIs" dxfId="56" priority="12" stopIfTrue="1" operator="greaterThan">
      <formula>-1</formula>
    </cfRule>
  </conditionalFormatting>
  <conditionalFormatting sqref="D50:D57">
    <cfRule type="cellIs" dxfId="55" priority="16" stopIfTrue="1" operator="greaterThan">
      <formula>-1</formula>
    </cfRule>
  </conditionalFormatting>
  <conditionalFormatting sqref="D72:D80">
    <cfRule type="cellIs" dxfId="54" priority="9" stopIfTrue="1" operator="greaterThan">
      <formula>-1</formula>
    </cfRule>
  </conditionalFormatting>
  <conditionalFormatting sqref="D82:D93">
    <cfRule type="cellIs" dxfId="53" priority="10" stopIfTrue="1" operator="greaterThan">
      <formula>-1</formula>
    </cfRule>
  </conditionalFormatting>
  <conditionalFormatting sqref="D101:D107 D109">
    <cfRule type="cellIs" dxfId="52" priority="4" stopIfTrue="1" operator="greaterThan">
      <formula>-1</formula>
    </cfRule>
  </conditionalFormatting>
  <conditionalFormatting sqref="D101:D107">
    <cfRule type="containsBlanks" dxfId="51" priority="2">
      <formula>LEN(TRIM(D101))=0</formula>
    </cfRule>
  </conditionalFormatting>
  <conditionalFormatting sqref="D101:D109">
    <cfRule type="containsBlanks" dxfId="50" priority="1">
      <formula>LEN(TRIM(D101))=0</formula>
    </cfRule>
  </conditionalFormatting>
  <conditionalFormatting sqref="D107 D109">
    <cfRule type="containsBlanks" dxfId="49" priority="3">
      <formula>LEN(TRIM(D107))=0</formula>
    </cfRule>
  </conditionalFormatting>
  <conditionalFormatting sqref="D108">
    <cfRule type="containsBlanks" dxfId="48" priority="5" stopIfTrue="1">
      <formula>LEN(TRIM(D108))=0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Répartition Régions &amp; districts</vt:lpstr>
      <vt:lpstr>Répartition Niveau d'exécution</vt:lpstr>
      <vt:lpstr>Effectif pour rép. soldes mensu</vt:lpstr>
      <vt:lpstr>Répartition Soldes mensuelles</vt:lpstr>
      <vt:lpstr>Budget par AI SNDS</vt:lpstr>
      <vt:lpstr>Répartition par OS et AI</vt:lpstr>
      <vt:lpstr>Répartition Niveaux de soins</vt:lpstr>
      <vt:lpstr>Répartition des Maladies</vt:lpstr>
      <vt:lpstr>Répartition SP.CNLS-IST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Tandamba</dc:creator>
  <cp:lastModifiedBy>Boukary Tandamba</cp:lastModifiedBy>
  <dcterms:created xsi:type="dcterms:W3CDTF">2023-04-03T16:16:38Z</dcterms:created>
  <dcterms:modified xsi:type="dcterms:W3CDTF">2024-05-21T17:01:20Z</dcterms:modified>
</cp:coreProperties>
</file>